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verbosh\Desktop\"/>
    </mc:Choice>
  </mc:AlternateContent>
  <bookViews>
    <workbookView xWindow="0" yWindow="0" windowWidth="28800" windowHeight="12930" tabRatio="801"/>
  </bookViews>
  <sheets>
    <sheet name="Head Count Trend" sheetId="8" r:id="rId1"/>
    <sheet name="Undergrad Breakdown Trend" sheetId="1" r:id="rId2"/>
    <sheet name="Enrollment by level Trend" sheetId="2" r:id="rId3"/>
    <sheet name="Ethnic Enrollment" sheetId="4" r:id="rId4"/>
    <sheet name="Undergraduate Ethnicity Trend" sheetId="9" r:id="rId5"/>
    <sheet name="Graduate Ethnicity Trend" sheetId="10" r:id="rId6"/>
    <sheet name="Ethnic Enrollment Choice" sheetId="5" r:id="rId7"/>
    <sheet name="% Minority Trend" sheetId="11" r:id="rId8"/>
    <sheet name="% NRA Trend" sheetId="6" r:id="rId9"/>
    <sheet name="Study Abroad" sheetId="7" r:id="rId10"/>
    <sheet name="Enrollment By Residency" sheetId="12" r:id="rId11"/>
    <sheet name="FT - PT Enrollment Trend" sheetId="13" r:id="rId12"/>
    <sheet name="Degree-NonDegree Enrollment" sheetId="24" r:id="rId13"/>
    <sheet name="Enrollment by Gender Trend" sheetId="14" r:id="rId14"/>
    <sheet name="Non Traditonal Enrollment Trend" sheetId="15" r:id="rId15"/>
    <sheet name="Age Trend" sheetId="23" r:id="rId16"/>
    <sheet name="Enrollment by Program Level" sheetId="16" r:id="rId17"/>
    <sheet name="Enrollment by Program Choice" sheetId="17" r:id="rId18"/>
    <sheet name="On-Campus Enrollment Trend" sheetId="18" r:id="rId19"/>
    <sheet name="Enrollment By County Trend" sheetId="19" r:id="rId20"/>
    <sheet name="Enrollment by State" sheetId="20" r:id="rId21"/>
    <sheet name="Enrollment By Major Trend" sheetId="22" r:id="rId22"/>
    <sheet name="Enrollment By Major(STEM) Trend" sheetId="21" r:id="rId23"/>
    <sheet name="Parameters" sheetId="3" state="hidden" r:id="rId24"/>
  </sheets>
  <definedNames>
    <definedName name="ExternalData_1" localSheetId="21" hidden="1">'Enrollment By Major Trend'!#REF!</definedName>
    <definedName name="_xlnm.Print_Area" localSheetId="7">'% Minority Trend'!$B$1:$AF$66</definedName>
    <definedName name="_xlnm.Print_Area" localSheetId="8">'% NRA Trend'!$B$1:$AF$65</definedName>
    <definedName name="_xlnm.Print_Area" localSheetId="15">'Age Trend'!$B$1:$AA$22</definedName>
    <definedName name="_xlnm.Print_Area" localSheetId="12">'Degree-NonDegree Enrollment'!$B$1:$AF$65</definedName>
    <definedName name="_xlnm.Print_Area" localSheetId="19">'Enrollment By County Trend'!$B$1:$L$77</definedName>
    <definedName name="_xlnm.Print_Area" localSheetId="13">'Enrollment by Gender Trend'!$B$1:$AF$65</definedName>
    <definedName name="_xlnm.Print_Area" localSheetId="2">'Enrollment by level Trend'!$B$1:$AF$63</definedName>
    <definedName name="_xlnm.Print_Area" localSheetId="21">'Enrollment By Major Trend'!$B$1:$L$172</definedName>
    <definedName name="_xlnm.Print_Area" localSheetId="22">'Enrollment By Major(STEM) Trend'!$B$1:$L$167</definedName>
    <definedName name="_xlnm.Print_Area" localSheetId="17">'Enrollment by Program Choice'!$B$1:$AF$22</definedName>
    <definedName name="_xlnm.Print_Area" localSheetId="16">'Enrollment by Program Level'!$B$1:$AF$62</definedName>
    <definedName name="_xlnm.Print_Area" localSheetId="10">'Enrollment By Residency'!$B$1:$AF$65</definedName>
    <definedName name="_xlnm.Print_Area" localSheetId="20">'Enrollment by State'!$B$1:$L$59</definedName>
    <definedName name="_xlnm.Print_Area" localSheetId="3">'Ethnic Enrollment'!$B$1:$L$184</definedName>
    <definedName name="_xlnm.Print_Area" localSheetId="6">'Ethnic Enrollment Choice'!$B$1:$L$23</definedName>
    <definedName name="_xlnm.Print_Area" localSheetId="11">'FT - PT Enrollment Trend'!$B$1:$AF$65</definedName>
    <definedName name="_xlnm.Print_Area" localSheetId="5">'Graduate Ethnicity Trend'!$B$1:$L$184</definedName>
    <definedName name="_xlnm.Print_Area" localSheetId="0">'Head Count Trend'!$B$1:$L$23</definedName>
    <definedName name="_xlnm.Print_Area" localSheetId="14">'Non Traditonal Enrollment Trend'!$B$1:$AP$116</definedName>
    <definedName name="_xlnm.Print_Area" localSheetId="18">'On-Campus Enrollment Trend'!$B$1:$AF$83</definedName>
    <definedName name="_xlnm.Print_Area" localSheetId="9">'Study Abroad'!$B$1:$AF$23</definedName>
    <definedName name="_xlnm.Print_Area" localSheetId="1">'Undergrad Breakdown Trend'!$B$1:$L$80</definedName>
    <definedName name="_xlnm.Print_Area" localSheetId="4">'Undergraduate Ethnicity Trend'!$B$1:$L$184</definedName>
    <definedName name="_xlnm.Print_Titles" localSheetId="21">'Enrollment By Major Trend'!$1:$1</definedName>
    <definedName name="_xlnm.Print_Titles" localSheetId="22">'Enrollment By Major(STEM) Trend'!$1:$1</definedName>
    <definedName name="_xlnm.Print_Titles" localSheetId="3">'Ethnic Enrollment'!$1:$2</definedName>
    <definedName name="_xlnm.Print_Titles" localSheetId="5">'Graduate Ethnicity Trend'!$1:$2</definedName>
    <definedName name="_xlnm.Print_Titles" localSheetId="14">'Non Traditonal Enrollment Trend'!$1:$1</definedName>
    <definedName name="_xlnm.Print_Titles" localSheetId="1">'Undergrad Breakdown Trend'!$1:$1</definedName>
    <definedName name="_xlnm.Print_Titles" localSheetId="4">'Undergraduate Ethnicity Trend'!$1:$2</definedName>
  </definedNames>
  <calcPr calcId="191029"/>
</workbook>
</file>

<file path=xl/calcChain.xml><?xml version="1.0" encoding="utf-8"?>
<calcChain xmlns="http://schemas.openxmlformats.org/spreadsheetml/2006/main">
  <c r="C22" i="23" l="1"/>
  <c r="D22" i="23"/>
  <c r="E22" i="23"/>
  <c r="F22" i="23"/>
  <c r="G22" i="23"/>
  <c r="H22" i="23"/>
  <c r="I22" i="23"/>
  <c r="J22" i="23"/>
  <c r="K22" i="23"/>
  <c r="L22" i="23"/>
  <c r="M22" i="23"/>
  <c r="N22" i="23"/>
  <c r="O22" i="23"/>
  <c r="P22" i="23"/>
  <c r="Q22" i="23"/>
  <c r="R22" i="23"/>
  <c r="S22" i="23"/>
  <c r="T22" i="23"/>
  <c r="U22" i="23"/>
  <c r="V22" i="23"/>
  <c r="W22" i="23"/>
  <c r="X22" i="23"/>
  <c r="Y22" i="23"/>
  <c r="Z22" i="23"/>
  <c r="AA22" i="23"/>
  <c r="C20" i="5"/>
  <c r="D20" i="5"/>
  <c r="E20" i="5"/>
  <c r="F20" i="5"/>
  <c r="G20" i="5"/>
  <c r="H20" i="5"/>
  <c r="I20" i="5"/>
  <c r="J20" i="5"/>
  <c r="K20" i="5"/>
  <c r="L20" i="5"/>
  <c r="C21" i="10"/>
  <c r="D21" i="10"/>
  <c r="E21" i="10"/>
  <c r="F21" i="10"/>
  <c r="G21" i="10"/>
  <c r="H21" i="10"/>
  <c r="I21" i="10"/>
  <c r="J21" i="10"/>
  <c r="K21" i="10"/>
  <c r="L21" i="10"/>
  <c r="C41" i="10"/>
  <c r="D41" i="10"/>
  <c r="E41" i="10"/>
  <c r="F41" i="10"/>
  <c r="G41" i="10"/>
  <c r="H41" i="10"/>
  <c r="I41" i="10"/>
  <c r="J41" i="10"/>
  <c r="K41" i="10"/>
  <c r="L41" i="10"/>
  <c r="C61" i="10"/>
  <c r="D61" i="10"/>
  <c r="E61" i="10"/>
  <c r="F61" i="10"/>
  <c r="G61" i="10"/>
  <c r="H61" i="10"/>
  <c r="I61" i="10"/>
  <c r="J61" i="10"/>
  <c r="K61" i="10"/>
  <c r="L61" i="10"/>
  <c r="C81" i="10"/>
  <c r="D81" i="10"/>
  <c r="E81" i="10"/>
  <c r="F81" i="10"/>
  <c r="G81" i="10"/>
  <c r="H81" i="10"/>
  <c r="I81" i="10"/>
  <c r="J81" i="10"/>
  <c r="K81" i="10"/>
  <c r="L81" i="10"/>
  <c r="C121" i="10"/>
  <c r="D121" i="10"/>
  <c r="E121" i="10"/>
  <c r="F121" i="10"/>
  <c r="G121" i="10"/>
  <c r="H121" i="10"/>
  <c r="I121" i="10"/>
  <c r="J121" i="10"/>
  <c r="K121" i="10"/>
  <c r="L121" i="10"/>
  <c r="C101" i="10"/>
  <c r="D101" i="10"/>
  <c r="E101" i="10"/>
  <c r="F101" i="10"/>
  <c r="G101" i="10"/>
  <c r="H101" i="10"/>
  <c r="I101" i="10"/>
  <c r="J101" i="10"/>
  <c r="K101" i="10"/>
  <c r="L101" i="10"/>
  <c r="C141" i="10"/>
  <c r="D141" i="10"/>
  <c r="E141" i="10"/>
  <c r="F141" i="10"/>
  <c r="G141" i="10"/>
  <c r="H141" i="10"/>
  <c r="I141" i="10"/>
  <c r="J141" i="10"/>
  <c r="K141" i="10"/>
  <c r="L141" i="10"/>
  <c r="C161" i="10"/>
  <c r="D161" i="10"/>
  <c r="E161" i="10"/>
  <c r="F161" i="10"/>
  <c r="G161" i="10"/>
  <c r="H161" i="10"/>
  <c r="I161" i="10"/>
  <c r="J161" i="10"/>
  <c r="K161" i="10"/>
  <c r="L161" i="10"/>
  <c r="C181" i="10"/>
  <c r="D181" i="10"/>
  <c r="E181" i="10"/>
  <c r="F181" i="10"/>
  <c r="G181" i="10"/>
  <c r="H181" i="10"/>
  <c r="I181" i="10"/>
  <c r="J181" i="10"/>
  <c r="K181" i="10"/>
  <c r="L181" i="10"/>
  <c r="C21" i="9"/>
  <c r="D21" i="9"/>
  <c r="E21" i="9"/>
  <c r="F21" i="9"/>
  <c r="G21" i="9"/>
  <c r="H21" i="9"/>
  <c r="I21" i="9"/>
  <c r="J21" i="9"/>
  <c r="K21" i="9"/>
  <c r="L21" i="9"/>
  <c r="C41" i="9"/>
  <c r="D41" i="9"/>
  <c r="E41" i="9"/>
  <c r="F41" i="9"/>
  <c r="G41" i="9"/>
  <c r="H41" i="9"/>
  <c r="I41" i="9"/>
  <c r="J41" i="9"/>
  <c r="K41" i="9"/>
  <c r="L41" i="9"/>
  <c r="C61" i="9"/>
  <c r="D61" i="9"/>
  <c r="E61" i="9"/>
  <c r="F61" i="9"/>
  <c r="G61" i="9"/>
  <c r="H61" i="9"/>
  <c r="I61" i="9"/>
  <c r="J61" i="9"/>
  <c r="K61" i="9"/>
  <c r="L61" i="9"/>
  <c r="C81" i="9"/>
  <c r="D81" i="9"/>
  <c r="E81" i="9"/>
  <c r="F81" i="9"/>
  <c r="G81" i="9"/>
  <c r="H81" i="9"/>
  <c r="I81" i="9"/>
  <c r="J81" i="9"/>
  <c r="K81" i="9"/>
  <c r="L81" i="9"/>
  <c r="C141" i="9"/>
  <c r="D141" i="9"/>
  <c r="E141" i="9"/>
  <c r="F141" i="9"/>
  <c r="G141" i="9"/>
  <c r="H141" i="9"/>
  <c r="I141" i="9"/>
  <c r="J141" i="9"/>
  <c r="K141" i="9"/>
  <c r="L141" i="9"/>
  <c r="C101" i="9"/>
  <c r="D101" i="9"/>
  <c r="E101" i="9"/>
  <c r="F101" i="9"/>
  <c r="G101" i="9"/>
  <c r="H101" i="9"/>
  <c r="I101" i="9"/>
  <c r="J101" i="9"/>
  <c r="K101" i="9"/>
  <c r="L101" i="9"/>
  <c r="C161" i="9"/>
  <c r="D161" i="9"/>
  <c r="E161" i="9"/>
  <c r="F161" i="9"/>
  <c r="G161" i="9"/>
  <c r="H161" i="9"/>
  <c r="I161" i="9"/>
  <c r="J161" i="9"/>
  <c r="K161" i="9"/>
  <c r="L161" i="9"/>
  <c r="C181" i="9"/>
  <c r="D181" i="9"/>
  <c r="E181" i="9"/>
  <c r="F181" i="9"/>
  <c r="G181" i="9"/>
  <c r="H181" i="9"/>
  <c r="I181" i="9"/>
  <c r="J181" i="9"/>
  <c r="K181" i="9"/>
  <c r="L181" i="9"/>
  <c r="C20" i="18"/>
  <c r="E20" i="18"/>
  <c r="D20" i="18"/>
  <c r="F20" i="18"/>
  <c r="G20" i="18"/>
  <c r="I20" i="18"/>
  <c r="J20" i="18"/>
  <c r="L20" i="18"/>
  <c r="M20" i="18"/>
  <c r="O20" i="18"/>
  <c r="Q20" i="18"/>
  <c r="P20" i="18"/>
  <c r="R20" i="18"/>
  <c r="S20" i="18"/>
  <c r="U20" i="18"/>
  <c r="W20" i="18"/>
  <c r="V20" i="18"/>
  <c r="X20" i="18"/>
  <c r="Y20" i="18"/>
  <c r="Z20" i="18"/>
  <c r="AA20" i="18"/>
  <c r="AB20" i="18"/>
  <c r="AC20" i="18"/>
  <c r="AD20" i="18"/>
  <c r="AF20" i="18"/>
  <c r="AE20" i="18"/>
  <c r="C41" i="18"/>
  <c r="D41" i="18"/>
  <c r="F41" i="18"/>
  <c r="G41" i="18"/>
  <c r="I41" i="18"/>
  <c r="J41" i="18"/>
  <c r="K41" i="18"/>
  <c r="L41" i="18"/>
  <c r="N41" i="18"/>
  <c r="M41" i="18"/>
  <c r="O41" i="18"/>
  <c r="P41" i="18"/>
  <c r="R41" i="18"/>
  <c r="T41" i="18"/>
  <c r="S41" i="18"/>
  <c r="U41" i="18"/>
  <c r="V41" i="18"/>
  <c r="X41" i="18"/>
  <c r="Z41" i="18"/>
  <c r="Y41" i="18"/>
  <c r="AA41" i="18"/>
  <c r="AB41" i="18"/>
  <c r="AD41" i="18"/>
  <c r="AE41" i="18"/>
  <c r="C21" i="15"/>
  <c r="D21" i="15"/>
  <c r="E21" i="15"/>
  <c r="F21" i="15"/>
  <c r="G21" i="15"/>
  <c r="H21" i="15"/>
  <c r="I21" i="15"/>
  <c r="K21" i="15"/>
  <c r="M21" i="15"/>
  <c r="N21" i="15"/>
  <c r="O21" i="15"/>
  <c r="P21" i="15"/>
  <c r="Q21" i="15"/>
  <c r="S21" i="15"/>
  <c r="U21" i="15"/>
  <c r="V21" i="15"/>
  <c r="W21" i="15"/>
  <c r="Y21" i="15"/>
  <c r="AA21" i="15"/>
  <c r="AC21" i="15"/>
  <c r="AD21" i="15"/>
  <c r="AE21" i="15"/>
  <c r="AG21" i="15"/>
  <c r="AH21" i="15"/>
  <c r="AI21" i="15"/>
  <c r="AK21" i="15"/>
  <c r="AM21" i="15"/>
  <c r="AN21" i="15"/>
  <c r="AO21" i="15"/>
  <c r="C43" i="15"/>
  <c r="D43" i="15"/>
  <c r="E43" i="15"/>
  <c r="F43" i="15"/>
  <c r="G43" i="15"/>
  <c r="I43" i="15"/>
  <c r="J43" i="15"/>
  <c r="K43" i="15"/>
  <c r="M43" i="15"/>
  <c r="N43" i="15"/>
  <c r="O43" i="15"/>
  <c r="Q43" i="15"/>
  <c r="R43" i="15"/>
  <c r="S43" i="15"/>
  <c r="U43" i="15"/>
  <c r="V43" i="15"/>
  <c r="W43" i="15"/>
  <c r="Y43" i="15"/>
  <c r="Z43" i="15"/>
  <c r="AA43" i="15"/>
  <c r="AC43" i="15"/>
  <c r="AD43" i="15"/>
  <c r="AE43" i="15"/>
  <c r="AG43" i="15"/>
  <c r="AH43" i="15"/>
  <c r="AI43" i="15"/>
  <c r="AK43" i="15"/>
  <c r="AM43" i="15"/>
  <c r="AO43" i="15"/>
  <c r="C20" i="14"/>
  <c r="D20" i="14"/>
  <c r="E20" i="14"/>
  <c r="F20" i="14"/>
  <c r="H20" i="14"/>
  <c r="G20" i="14"/>
  <c r="I20" i="14"/>
  <c r="J20" i="14"/>
  <c r="L20" i="14"/>
  <c r="M20" i="14"/>
  <c r="O20" i="14"/>
  <c r="P20" i="14"/>
  <c r="Q20" i="14"/>
  <c r="R20" i="14"/>
  <c r="T20" i="14"/>
  <c r="S20" i="14"/>
  <c r="U20" i="14"/>
  <c r="V20" i="14"/>
  <c r="X20" i="14"/>
  <c r="Y20" i="14"/>
  <c r="Z20" i="14"/>
  <c r="AA20" i="14"/>
  <c r="AB20" i="14"/>
  <c r="AD20" i="14"/>
  <c r="AF20" i="14"/>
  <c r="AE20" i="14"/>
  <c r="C20" i="6"/>
  <c r="D20" i="6"/>
  <c r="F20" i="6"/>
  <c r="G20" i="6"/>
  <c r="I20" i="6"/>
  <c r="J20" i="6"/>
  <c r="L20" i="6"/>
  <c r="M20" i="6"/>
  <c r="O20" i="6"/>
  <c r="P20" i="6"/>
  <c r="R20" i="6"/>
  <c r="S20" i="6"/>
  <c r="U20" i="6"/>
  <c r="V20" i="6"/>
  <c r="X20" i="6"/>
  <c r="Y20" i="6"/>
  <c r="Z20" i="6"/>
  <c r="AA20" i="6"/>
  <c r="AB20" i="6"/>
  <c r="AD20" i="6"/>
  <c r="AE20" i="6"/>
  <c r="C21" i="4"/>
  <c r="D21" i="4"/>
  <c r="E21" i="4"/>
  <c r="F21" i="4"/>
  <c r="G21" i="4"/>
  <c r="H21" i="4"/>
  <c r="I21" i="4"/>
  <c r="J21" i="4"/>
  <c r="K21" i="4"/>
  <c r="L21" i="4"/>
  <c r="C41" i="14"/>
  <c r="D41" i="14"/>
  <c r="F41" i="14"/>
  <c r="G41" i="14"/>
  <c r="I41" i="14"/>
  <c r="J41" i="14"/>
  <c r="L41" i="14"/>
  <c r="M41" i="14"/>
  <c r="N41" i="14"/>
  <c r="O41" i="14"/>
  <c r="P41" i="14"/>
  <c r="Q41" i="14"/>
  <c r="R41" i="14"/>
  <c r="S41" i="14"/>
  <c r="U41" i="14"/>
  <c r="V41" i="14"/>
  <c r="W41" i="14"/>
  <c r="X41" i="14"/>
  <c r="Y41" i="14"/>
  <c r="Z41" i="14"/>
  <c r="AA41" i="14"/>
  <c r="AB41" i="14"/>
  <c r="AD41" i="14"/>
  <c r="AE41" i="14"/>
  <c r="C20" i="24"/>
  <c r="D20" i="24"/>
  <c r="E20" i="24"/>
  <c r="F20" i="24"/>
  <c r="G20" i="24"/>
  <c r="H20" i="24"/>
  <c r="I20" i="24"/>
  <c r="J20" i="24"/>
  <c r="K20" i="24"/>
  <c r="L20" i="24"/>
  <c r="M20" i="24"/>
  <c r="N20" i="24"/>
  <c r="O20" i="24"/>
  <c r="P20" i="24"/>
  <c r="Q20" i="24"/>
  <c r="R20" i="24"/>
  <c r="S20" i="24"/>
  <c r="T20" i="24"/>
  <c r="U20" i="24"/>
  <c r="V20" i="24"/>
  <c r="W20" i="24"/>
  <c r="X20" i="24"/>
  <c r="Y20" i="24"/>
  <c r="Z20" i="24"/>
  <c r="AA20" i="24"/>
  <c r="AB20" i="24"/>
  <c r="AC20" i="24"/>
  <c r="AD20" i="24"/>
  <c r="AE20" i="24"/>
  <c r="AF20" i="24"/>
  <c r="C20" i="11"/>
  <c r="E20" i="11"/>
  <c r="D20" i="11"/>
  <c r="F20" i="11"/>
  <c r="G20" i="11"/>
  <c r="I20" i="11"/>
  <c r="K20" i="11"/>
  <c r="J20" i="11"/>
  <c r="L20" i="11"/>
  <c r="M20" i="11"/>
  <c r="O20" i="11"/>
  <c r="P20" i="11"/>
  <c r="R20" i="11"/>
  <c r="S20" i="11"/>
  <c r="U20" i="11"/>
  <c r="W20" i="11"/>
  <c r="V20" i="11"/>
  <c r="X20" i="11"/>
  <c r="Y20" i="11"/>
  <c r="Z20" i="11"/>
  <c r="AA20" i="11"/>
  <c r="AB20" i="11"/>
  <c r="AD20" i="11"/>
  <c r="AE20" i="11"/>
  <c r="C41" i="11"/>
  <c r="E41" i="11"/>
  <c r="D41" i="11"/>
  <c r="F41" i="11"/>
  <c r="G41" i="11"/>
  <c r="I41" i="11"/>
  <c r="K41" i="11"/>
  <c r="J41" i="11"/>
  <c r="L41" i="11"/>
  <c r="N41" i="11"/>
  <c r="M41" i="11"/>
  <c r="O41" i="11"/>
  <c r="P41" i="11"/>
  <c r="Q41" i="11"/>
  <c r="R41" i="11"/>
  <c r="S41" i="11"/>
  <c r="U41" i="11"/>
  <c r="V41" i="11"/>
  <c r="X41" i="11"/>
  <c r="Z41" i="11"/>
  <c r="Y41" i="11"/>
  <c r="AA41" i="11"/>
  <c r="AB41" i="11"/>
  <c r="AD41" i="11"/>
  <c r="AF41" i="11"/>
  <c r="AE41" i="11"/>
  <c r="C121" i="9"/>
  <c r="D121" i="9"/>
  <c r="E121" i="9"/>
  <c r="F121" i="9"/>
  <c r="G121" i="9"/>
  <c r="H121" i="9"/>
  <c r="I121" i="9"/>
  <c r="J121" i="9"/>
  <c r="K121" i="9"/>
  <c r="L121" i="9"/>
  <c r="C41" i="6"/>
  <c r="D41" i="6"/>
  <c r="F41" i="6"/>
  <c r="G41" i="6"/>
  <c r="I41" i="6"/>
  <c r="J41" i="6"/>
  <c r="K41" i="6"/>
  <c r="L41" i="6"/>
  <c r="M41" i="6"/>
  <c r="N41" i="6"/>
  <c r="O41" i="6"/>
  <c r="P41" i="6"/>
  <c r="R41" i="6"/>
  <c r="S41" i="6"/>
  <c r="U41" i="6"/>
  <c r="V41" i="6"/>
  <c r="X41" i="6"/>
  <c r="Y41" i="6"/>
  <c r="AA41" i="6"/>
  <c r="AB41" i="6"/>
  <c r="AD41" i="6"/>
  <c r="AE41" i="6"/>
  <c r="C83" i="18"/>
  <c r="E83" i="18"/>
  <c r="D83" i="18"/>
  <c r="F83" i="18"/>
  <c r="G83" i="18"/>
  <c r="I83" i="18"/>
  <c r="K83" i="18"/>
  <c r="J83" i="18"/>
  <c r="L83" i="18"/>
  <c r="M83" i="18"/>
  <c r="N83" i="18"/>
  <c r="O83" i="18"/>
  <c r="P83" i="18"/>
  <c r="R83" i="18"/>
  <c r="S83" i="18"/>
  <c r="U83" i="18"/>
  <c r="V83" i="18"/>
  <c r="W83" i="18"/>
  <c r="X83" i="18"/>
  <c r="Y83" i="18"/>
  <c r="AA83" i="18"/>
  <c r="AB83" i="18"/>
  <c r="AD83" i="18"/>
  <c r="AE83" i="18"/>
  <c r="C22" i="17"/>
  <c r="D22" i="17"/>
  <c r="F22" i="17"/>
  <c r="G22" i="17"/>
  <c r="I22" i="17"/>
  <c r="J22" i="17"/>
  <c r="K22" i="17"/>
  <c r="L22" i="17"/>
  <c r="M22" i="17"/>
  <c r="N22" i="17"/>
  <c r="O22" i="17"/>
  <c r="P22" i="17"/>
  <c r="R22" i="17"/>
  <c r="S22" i="17"/>
  <c r="U22" i="17"/>
  <c r="V22" i="17"/>
  <c r="X22" i="17"/>
  <c r="Y22" i="17"/>
  <c r="AA22" i="17"/>
  <c r="AB22" i="17"/>
  <c r="AD22" i="17"/>
  <c r="AE22" i="17"/>
  <c r="C20" i="16"/>
  <c r="D20" i="16"/>
  <c r="F20" i="16"/>
  <c r="H20" i="16"/>
  <c r="G20" i="16"/>
  <c r="I20" i="16"/>
  <c r="J20" i="16"/>
  <c r="K20" i="16"/>
  <c r="L20" i="16"/>
  <c r="N20" i="16"/>
  <c r="M20" i="16"/>
  <c r="O20" i="16"/>
  <c r="P20" i="16"/>
  <c r="R20" i="16"/>
  <c r="T20" i="16"/>
  <c r="S20" i="16"/>
  <c r="U20" i="16"/>
  <c r="V20" i="16"/>
  <c r="X20" i="16"/>
  <c r="Z20" i="16"/>
  <c r="Y20" i="16"/>
  <c r="AA20" i="16"/>
  <c r="AB20" i="16"/>
  <c r="AD20" i="16"/>
  <c r="AE20" i="16"/>
  <c r="C41" i="16"/>
  <c r="E41" i="16"/>
  <c r="D41" i="16"/>
  <c r="F41" i="16"/>
  <c r="G41" i="16"/>
  <c r="I41" i="16"/>
  <c r="J41" i="16"/>
  <c r="L41" i="16"/>
  <c r="M41" i="16"/>
  <c r="N41" i="16"/>
  <c r="O41" i="16"/>
  <c r="Q41" i="16"/>
  <c r="P41" i="16"/>
  <c r="R41" i="16"/>
  <c r="S41" i="16"/>
  <c r="U41" i="16"/>
  <c r="V41" i="16"/>
  <c r="X41" i="16"/>
  <c r="Y41" i="16"/>
  <c r="AA41" i="16"/>
  <c r="AB41" i="16"/>
  <c r="AD41" i="16"/>
  <c r="AE41" i="16"/>
  <c r="C62" i="16"/>
  <c r="E62" i="16"/>
  <c r="D62" i="16"/>
  <c r="F62" i="16"/>
  <c r="H62" i="16"/>
  <c r="G62" i="16"/>
  <c r="I62" i="16"/>
  <c r="J62" i="16"/>
  <c r="L62" i="16"/>
  <c r="M62" i="16"/>
  <c r="N62" i="16"/>
  <c r="O62" i="16"/>
  <c r="P62" i="16"/>
  <c r="R62" i="16"/>
  <c r="S62" i="16"/>
  <c r="U62" i="16"/>
  <c r="V62" i="16"/>
  <c r="X62" i="16"/>
  <c r="Y62" i="16"/>
  <c r="Z62" i="16"/>
  <c r="AA62" i="16"/>
  <c r="AC62" i="16"/>
  <c r="AB62" i="16"/>
  <c r="AD62" i="16"/>
  <c r="AE62" i="16"/>
  <c r="C41" i="4"/>
  <c r="D41" i="4"/>
  <c r="E41" i="4"/>
  <c r="F41" i="4"/>
  <c r="G41" i="4"/>
  <c r="H41" i="4"/>
  <c r="I41" i="4"/>
  <c r="J41" i="4"/>
  <c r="K41" i="4"/>
  <c r="L41" i="4"/>
  <c r="C61" i="4"/>
  <c r="D61" i="4"/>
  <c r="E61" i="4"/>
  <c r="F61" i="4"/>
  <c r="G61" i="4"/>
  <c r="H61" i="4"/>
  <c r="I61" i="4"/>
  <c r="J61" i="4"/>
  <c r="K61" i="4"/>
  <c r="L61" i="4"/>
  <c r="C81" i="4"/>
  <c r="D81" i="4"/>
  <c r="E81" i="4"/>
  <c r="F81" i="4"/>
  <c r="G81" i="4"/>
  <c r="H81" i="4"/>
  <c r="I81" i="4"/>
  <c r="J81" i="4"/>
  <c r="K81" i="4"/>
  <c r="L81" i="4"/>
  <c r="C121" i="4"/>
  <c r="D121" i="4"/>
  <c r="E121" i="4"/>
  <c r="F121" i="4"/>
  <c r="G121" i="4"/>
  <c r="H121" i="4"/>
  <c r="I121" i="4"/>
  <c r="J121" i="4"/>
  <c r="K121" i="4"/>
  <c r="L121" i="4"/>
  <c r="C116" i="15"/>
  <c r="D116" i="15"/>
  <c r="E116" i="15"/>
  <c r="F116" i="15"/>
  <c r="G116" i="15"/>
  <c r="I116" i="15"/>
  <c r="J116" i="15"/>
  <c r="K116" i="15"/>
  <c r="M116" i="15"/>
  <c r="N116" i="15"/>
  <c r="O116" i="15"/>
  <c r="Q116" i="15"/>
  <c r="R116" i="15"/>
  <c r="S116" i="15"/>
  <c r="V116" i="15"/>
  <c r="U116" i="15"/>
  <c r="W116" i="15"/>
  <c r="Y116" i="15"/>
  <c r="Z116" i="15"/>
  <c r="AA116" i="15"/>
  <c r="AC116" i="15"/>
  <c r="AD116" i="15"/>
  <c r="AE116" i="15"/>
  <c r="AG116" i="15"/>
  <c r="AH116" i="15"/>
  <c r="AI116" i="15"/>
  <c r="AK116" i="15"/>
  <c r="AL116" i="15"/>
  <c r="AM116" i="15"/>
  <c r="AO116" i="15"/>
  <c r="C161" i="4"/>
  <c r="D161" i="4"/>
  <c r="E161" i="4"/>
  <c r="F161" i="4"/>
  <c r="G161" i="4"/>
  <c r="H161" i="4"/>
  <c r="I161" i="4"/>
  <c r="J161" i="4"/>
  <c r="K161" i="4"/>
  <c r="L161" i="4"/>
  <c r="C20" i="12"/>
  <c r="D20" i="12"/>
  <c r="F20" i="12"/>
  <c r="G20" i="12"/>
  <c r="I20" i="12"/>
  <c r="J20" i="12"/>
  <c r="L20" i="12"/>
  <c r="M20" i="12"/>
  <c r="O20" i="12"/>
  <c r="Q20" i="12"/>
  <c r="P20" i="12"/>
  <c r="R20" i="12"/>
  <c r="T20" i="12"/>
  <c r="S20" i="12"/>
  <c r="U20" i="12"/>
  <c r="V20" i="12"/>
  <c r="X20" i="12"/>
  <c r="Y20" i="12"/>
  <c r="Z20" i="12"/>
  <c r="AA20" i="12"/>
  <c r="AB20" i="12"/>
  <c r="AD20" i="12"/>
  <c r="AE20" i="12"/>
  <c r="C41" i="12"/>
  <c r="E41" i="12"/>
  <c r="D41" i="12"/>
  <c r="F41" i="12"/>
  <c r="H41" i="12"/>
  <c r="G41" i="12"/>
  <c r="I41" i="12"/>
  <c r="K41" i="12"/>
  <c r="J41" i="12"/>
  <c r="L41" i="12"/>
  <c r="N41" i="12"/>
  <c r="M41" i="12"/>
  <c r="O41" i="12"/>
  <c r="P41" i="12"/>
  <c r="R41" i="12"/>
  <c r="T41" i="12"/>
  <c r="S41" i="12"/>
  <c r="U41" i="12"/>
  <c r="W41" i="12"/>
  <c r="V41" i="12"/>
  <c r="X41" i="12"/>
  <c r="Y41" i="12"/>
  <c r="Z41" i="12"/>
  <c r="AA41" i="12"/>
  <c r="AB41" i="12"/>
  <c r="AD41" i="12"/>
  <c r="AE41" i="12"/>
  <c r="C101" i="4"/>
  <c r="D101" i="4"/>
  <c r="E101" i="4"/>
  <c r="F101" i="4"/>
  <c r="G101" i="4"/>
  <c r="H101" i="4"/>
  <c r="I101" i="4"/>
  <c r="J101" i="4"/>
  <c r="K101" i="4"/>
  <c r="L101" i="4"/>
  <c r="C141" i="4"/>
  <c r="D141" i="4"/>
  <c r="E141" i="4"/>
  <c r="F141" i="4"/>
  <c r="G141" i="4"/>
  <c r="H141" i="4"/>
  <c r="I141" i="4"/>
  <c r="J141" i="4"/>
  <c r="K141" i="4"/>
  <c r="L141" i="4"/>
  <c r="C181" i="4"/>
  <c r="D181" i="4"/>
  <c r="E181" i="4"/>
  <c r="F181" i="4"/>
  <c r="G181" i="4"/>
  <c r="H181" i="4"/>
  <c r="I181" i="4"/>
  <c r="J181" i="4"/>
  <c r="K181" i="4"/>
  <c r="L181" i="4"/>
  <c r="C42" i="21"/>
  <c r="D42" i="21"/>
  <c r="E42" i="21"/>
  <c r="F42" i="21"/>
  <c r="G42" i="21"/>
  <c r="H42" i="21"/>
  <c r="I42" i="21"/>
  <c r="J42" i="21"/>
  <c r="K42" i="21"/>
  <c r="L42" i="21"/>
  <c r="C130" i="21"/>
  <c r="D130" i="21"/>
  <c r="E130" i="21"/>
  <c r="F130" i="21"/>
  <c r="G130" i="21"/>
  <c r="H130" i="21"/>
  <c r="I130" i="21"/>
  <c r="J130" i="21"/>
  <c r="K130" i="21"/>
  <c r="L130" i="21"/>
  <c r="C43" i="22"/>
  <c r="D43" i="22"/>
  <c r="E43" i="22"/>
  <c r="F43" i="22"/>
  <c r="G43" i="22"/>
  <c r="H43" i="22"/>
  <c r="I43" i="22"/>
  <c r="J43" i="22"/>
  <c r="K43" i="22"/>
  <c r="L43" i="22"/>
  <c r="C171" i="21"/>
  <c r="D171" i="21"/>
  <c r="E171" i="21"/>
  <c r="F171" i="21"/>
  <c r="G171" i="21"/>
  <c r="H171" i="21"/>
  <c r="I171" i="21"/>
  <c r="J171" i="21"/>
  <c r="K171" i="21"/>
  <c r="L171" i="21"/>
  <c r="C20" i="7"/>
  <c r="E20" i="7"/>
  <c r="D20" i="7"/>
  <c r="F20" i="7"/>
  <c r="H20" i="7"/>
  <c r="G20" i="7"/>
  <c r="I20" i="7"/>
  <c r="K20" i="7"/>
  <c r="J20" i="7"/>
  <c r="L20" i="7"/>
  <c r="M20" i="7"/>
  <c r="O20" i="7"/>
  <c r="Q20" i="7"/>
  <c r="P20" i="7"/>
  <c r="R20" i="7"/>
  <c r="T20" i="7"/>
  <c r="S20" i="7"/>
  <c r="U20" i="7"/>
  <c r="W20" i="7"/>
  <c r="V20" i="7"/>
  <c r="X20" i="7"/>
  <c r="Y20" i="7"/>
  <c r="AA20" i="7"/>
  <c r="AB20" i="7"/>
  <c r="AD20" i="7"/>
  <c r="AE20" i="7"/>
  <c r="C130" i="22"/>
  <c r="D130" i="22"/>
  <c r="E130" i="22"/>
  <c r="F130" i="22"/>
  <c r="G130" i="22"/>
  <c r="H130" i="22"/>
  <c r="I130" i="22"/>
  <c r="J130" i="22"/>
  <c r="K130" i="22"/>
  <c r="L130" i="22"/>
  <c r="C171" i="22"/>
  <c r="D171" i="22"/>
  <c r="E171" i="22"/>
  <c r="F171" i="22"/>
  <c r="G171" i="22"/>
  <c r="H171" i="22"/>
  <c r="I171" i="22"/>
  <c r="J171" i="22"/>
  <c r="K171" i="22"/>
  <c r="L171" i="22"/>
  <c r="C41" i="24"/>
  <c r="D41" i="24"/>
  <c r="E41" i="24"/>
  <c r="F41" i="24"/>
  <c r="G41" i="24"/>
  <c r="H41" i="24"/>
  <c r="I41" i="24"/>
  <c r="J41" i="24"/>
  <c r="K41" i="24"/>
  <c r="L41" i="24"/>
  <c r="M41" i="24"/>
  <c r="N41" i="24"/>
  <c r="O41" i="24"/>
  <c r="P41" i="24"/>
  <c r="Q41" i="24"/>
  <c r="R41" i="24"/>
  <c r="S41" i="24"/>
  <c r="T41" i="24"/>
  <c r="U41" i="24"/>
  <c r="V41" i="24"/>
  <c r="W41" i="24"/>
  <c r="X41" i="24"/>
  <c r="Y41" i="24"/>
  <c r="Z41" i="24"/>
  <c r="AA41" i="24"/>
  <c r="AB41" i="24"/>
  <c r="AC41" i="24"/>
  <c r="AD41" i="24"/>
  <c r="AE41" i="24"/>
  <c r="AF41" i="24"/>
  <c r="C20" i="13"/>
  <c r="D20" i="13"/>
  <c r="E20" i="13"/>
  <c r="F20" i="13"/>
  <c r="G20" i="13"/>
  <c r="H20" i="13"/>
  <c r="I20" i="13"/>
  <c r="J20" i="13"/>
  <c r="K20" i="13"/>
  <c r="L20" i="13"/>
  <c r="M20" i="13"/>
  <c r="N20" i="13"/>
  <c r="O20" i="13"/>
  <c r="P20" i="13"/>
  <c r="Q20" i="13"/>
  <c r="R20" i="13"/>
  <c r="S20" i="13"/>
  <c r="T20" i="13"/>
  <c r="U20" i="13"/>
  <c r="V20" i="13"/>
  <c r="W20" i="13"/>
  <c r="X20" i="13"/>
  <c r="Y20" i="13"/>
  <c r="Z20" i="13"/>
  <c r="AA20" i="13"/>
  <c r="AB20" i="13"/>
  <c r="AC20" i="13"/>
  <c r="AD20" i="13"/>
  <c r="AE20" i="13"/>
  <c r="AF20" i="13"/>
  <c r="C84" i="22"/>
  <c r="D84" i="22"/>
  <c r="E84" i="22"/>
  <c r="F84" i="22"/>
  <c r="G84" i="22"/>
  <c r="H84" i="22"/>
  <c r="I84" i="22"/>
  <c r="J84" i="22"/>
  <c r="K84" i="22"/>
  <c r="L84" i="22"/>
  <c r="C65" i="15"/>
  <c r="D65" i="15"/>
  <c r="E65" i="15"/>
  <c r="G65" i="15"/>
  <c r="I65" i="15"/>
  <c r="J65" i="15"/>
  <c r="K65" i="15"/>
  <c r="L65" i="15"/>
  <c r="M65" i="15"/>
  <c r="N65" i="15"/>
  <c r="O65" i="15"/>
  <c r="Q65" i="15"/>
  <c r="R65" i="15"/>
  <c r="S65" i="15"/>
  <c r="T65" i="15"/>
  <c r="U65" i="15"/>
  <c r="W65" i="15"/>
  <c r="Y65" i="15"/>
  <c r="Z65" i="15"/>
  <c r="AA65" i="15"/>
  <c r="AB65" i="15"/>
  <c r="AC65" i="15"/>
  <c r="AE65" i="15"/>
  <c r="AG65" i="15"/>
  <c r="AI65" i="15"/>
  <c r="AK65" i="15"/>
  <c r="AM65" i="15"/>
  <c r="AO65" i="15"/>
  <c r="C62" i="14"/>
  <c r="E62" i="14"/>
  <c r="D62" i="14"/>
  <c r="F62" i="14"/>
  <c r="G62" i="14"/>
  <c r="I62" i="14"/>
  <c r="J62" i="14"/>
  <c r="L62" i="14"/>
  <c r="M62" i="14"/>
  <c r="N62" i="14"/>
  <c r="O62" i="14"/>
  <c r="Q62" i="14"/>
  <c r="P62" i="14"/>
  <c r="R62" i="14"/>
  <c r="S62" i="14"/>
  <c r="U62" i="14"/>
  <c r="V62" i="14"/>
  <c r="X62" i="14"/>
  <c r="Y62" i="14"/>
  <c r="Z62" i="14"/>
  <c r="AA62" i="14"/>
  <c r="AB62" i="14"/>
  <c r="AC62" i="14"/>
  <c r="AD62" i="14"/>
  <c r="AE62" i="14"/>
  <c r="C41" i="13"/>
  <c r="D41" i="13"/>
  <c r="E41" i="13"/>
  <c r="F41" i="13"/>
  <c r="G41" i="13"/>
  <c r="H41" i="13"/>
  <c r="I41" i="13"/>
  <c r="J41" i="13"/>
  <c r="K41" i="13"/>
  <c r="L41" i="13"/>
  <c r="M41" i="13"/>
  <c r="N41" i="13"/>
  <c r="O41" i="13"/>
  <c r="P41" i="13"/>
  <c r="Q41" i="13"/>
  <c r="R41" i="13"/>
  <c r="S41" i="13"/>
  <c r="T41" i="13"/>
  <c r="U41" i="13"/>
  <c r="V41" i="13"/>
  <c r="W41" i="13"/>
  <c r="X41" i="13"/>
  <c r="Y41" i="13"/>
  <c r="Z41" i="13"/>
  <c r="AA41" i="13"/>
  <c r="AB41" i="13"/>
  <c r="AC41" i="13"/>
  <c r="AD41" i="13"/>
  <c r="AE41" i="13"/>
  <c r="AF41" i="13"/>
  <c r="C62" i="18"/>
  <c r="E62" i="18"/>
  <c r="D62" i="18"/>
  <c r="F62" i="18"/>
  <c r="G62" i="18"/>
  <c r="I62" i="18"/>
  <c r="J62" i="18"/>
  <c r="L62" i="18"/>
  <c r="N62" i="18"/>
  <c r="M62" i="18"/>
  <c r="O62" i="18"/>
  <c r="Q62" i="18"/>
  <c r="P62" i="18"/>
  <c r="R62" i="18"/>
  <c r="S62" i="18"/>
  <c r="U62" i="18"/>
  <c r="V62" i="18"/>
  <c r="X62" i="18"/>
  <c r="Y62" i="18"/>
  <c r="Z62" i="18"/>
  <c r="AA62" i="18"/>
  <c r="AB62" i="18"/>
  <c r="AD62" i="18"/>
  <c r="AE62" i="18"/>
  <c r="C62" i="6"/>
  <c r="D62" i="6"/>
  <c r="F62" i="6"/>
  <c r="G62" i="6"/>
  <c r="I62" i="6"/>
  <c r="J62" i="6"/>
  <c r="L62" i="6"/>
  <c r="M62" i="6"/>
  <c r="N62" i="6"/>
  <c r="O62" i="6"/>
  <c r="P62" i="6"/>
  <c r="R62" i="6"/>
  <c r="S62" i="6"/>
  <c r="U62" i="6"/>
  <c r="W62" i="6"/>
  <c r="V62" i="6"/>
  <c r="X62" i="6"/>
  <c r="Z62" i="6"/>
  <c r="Y62" i="6"/>
  <c r="AA62" i="6"/>
  <c r="AC62" i="6"/>
  <c r="AB62" i="6"/>
  <c r="AD62" i="6"/>
  <c r="AF62" i="6"/>
  <c r="AE62" i="6"/>
  <c r="C81" i="21"/>
  <c r="D81" i="21"/>
  <c r="E81" i="21"/>
  <c r="F81" i="21"/>
  <c r="G81" i="21"/>
  <c r="H81" i="21"/>
  <c r="I81" i="21"/>
  <c r="J81" i="21"/>
  <c r="K81" i="21"/>
  <c r="L81" i="21"/>
  <c r="C58" i="20"/>
  <c r="D58" i="20"/>
  <c r="E58" i="20"/>
  <c r="F58" i="20"/>
  <c r="G58" i="20"/>
  <c r="H58" i="20"/>
  <c r="I58" i="20"/>
  <c r="J58" i="20"/>
  <c r="K58" i="20"/>
  <c r="L58" i="20"/>
  <c r="C62" i="13"/>
  <c r="D62" i="13"/>
  <c r="E62" i="13"/>
  <c r="F62" i="13"/>
  <c r="G62" i="13"/>
  <c r="H62" i="13"/>
  <c r="I62" i="13"/>
  <c r="J62" i="13"/>
  <c r="K62" i="13"/>
  <c r="L62" i="13"/>
  <c r="M62" i="13"/>
  <c r="N62" i="13"/>
  <c r="O62" i="13"/>
  <c r="P62" i="13"/>
  <c r="Q62" i="13"/>
  <c r="R62" i="13"/>
  <c r="S62" i="13"/>
  <c r="T62" i="13"/>
  <c r="U62" i="13"/>
  <c r="V62" i="13"/>
  <c r="W62" i="13"/>
  <c r="X62" i="13"/>
  <c r="Y62" i="13"/>
  <c r="Z62" i="13"/>
  <c r="AA62" i="13"/>
  <c r="AB62" i="13"/>
  <c r="AC62" i="13"/>
  <c r="AD62" i="13"/>
  <c r="AE62" i="13"/>
  <c r="AF62" i="13"/>
  <c r="C62" i="11"/>
  <c r="E62" i="11"/>
  <c r="D62" i="11"/>
  <c r="F62" i="11"/>
  <c r="G62" i="11"/>
  <c r="I62" i="11"/>
  <c r="K62" i="11"/>
  <c r="J62" i="11"/>
  <c r="L62" i="11"/>
  <c r="M62" i="11"/>
  <c r="O62" i="11"/>
  <c r="P62" i="11"/>
  <c r="R62" i="11"/>
  <c r="S62" i="11"/>
  <c r="T62" i="11"/>
  <c r="U62" i="11"/>
  <c r="W62" i="11"/>
  <c r="V62" i="11"/>
  <c r="X62" i="11"/>
  <c r="Y62" i="11"/>
  <c r="AA62" i="11"/>
  <c r="AC62" i="11"/>
  <c r="AB62" i="11"/>
  <c r="AD62" i="11"/>
  <c r="AE62" i="11"/>
  <c r="C62" i="24"/>
  <c r="D62" i="24"/>
  <c r="E62" i="24"/>
  <c r="F62" i="24"/>
  <c r="G62" i="24"/>
  <c r="H62" i="24"/>
  <c r="I62" i="24"/>
  <c r="J62" i="24"/>
  <c r="K62" i="24"/>
  <c r="L62" i="24"/>
  <c r="M62" i="24"/>
  <c r="N62" i="24"/>
  <c r="O62" i="24"/>
  <c r="P62" i="24"/>
  <c r="Q62" i="24"/>
  <c r="R62" i="24"/>
  <c r="S62" i="24"/>
  <c r="T62" i="24"/>
  <c r="U62" i="24"/>
  <c r="V62" i="24"/>
  <c r="W62" i="24"/>
  <c r="X62" i="24"/>
  <c r="Y62" i="24"/>
  <c r="Z62" i="24"/>
  <c r="AA62" i="24"/>
  <c r="AB62" i="24"/>
  <c r="AC62" i="24"/>
  <c r="AD62" i="24"/>
  <c r="AE62" i="24"/>
  <c r="AF62" i="24"/>
  <c r="C62" i="12"/>
  <c r="E62" i="12"/>
  <c r="D62" i="12"/>
  <c r="F62" i="12"/>
  <c r="G62" i="12"/>
  <c r="I62" i="12"/>
  <c r="J62" i="12"/>
  <c r="L62" i="12"/>
  <c r="M62" i="12"/>
  <c r="O62" i="12"/>
  <c r="P62" i="12"/>
  <c r="R62" i="12"/>
  <c r="S62" i="12"/>
  <c r="U62" i="12"/>
  <c r="V62" i="12"/>
  <c r="X62" i="12"/>
  <c r="Y62" i="12"/>
  <c r="Z62" i="12"/>
  <c r="AA62" i="12"/>
  <c r="AC62" i="12"/>
  <c r="AB62" i="12"/>
  <c r="AD62" i="12"/>
  <c r="AE62" i="12"/>
  <c r="C73" i="19"/>
  <c r="C77" i="19"/>
  <c r="D73" i="19"/>
  <c r="D77" i="19"/>
  <c r="E73" i="19"/>
  <c r="E77" i="19"/>
  <c r="F73" i="19"/>
  <c r="F77" i="19"/>
  <c r="G73" i="19"/>
  <c r="G77" i="19"/>
  <c r="H73" i="19"/>
  <c r="H77" i="19"/>
  <c r="I73" i="19"/>
  <c r="I77" i="19"/>
  <c r="J73" i="19"/>
  <c r="J77" i="19"/>
  <c r="K73" i="19"/>
  <c r="K77" i="19"/>
  <c r="L73" i="19"/>
  <c r="L77" i="19"/>
  <c r="C19" i="1"/>
  <c r="D19" i="1"/>
  <c r="E19" i="1"/>
  <c r="F19" i="1"/>
  <c r="G19" i="1"/>
  <c r="H19" i="1"/>
  <c r="I19" i="1"/>
  <c r="J19" i="1"/>
  <c r="K19" i="1"/>
  <c r="L19" i="1"/>
  <c r="C60" i="2"/>
  <c r="D60" i="2"/>
  <c r="E60" i="2"/>
  <c r="F60" i="2"/>
  <c r="G60" i="2"/>
  <c r="H60" i="2"/>
  <c r="I60" i="2"/>
  <c r="J60" i="2"/>
  <c r="K60" i="2"/>
  <c r="L60" i="2"/>
  <c r="C39" i="1"/>
  <c r="D39" i="1"/>
  <c r="E39" i="1"/>
  <c r="F39" i="1"/>
  <c r="G39" i="1"/>
  <c r="H39" i="1"/>
  <c r="I39" i="1"/>
  <c r="J39" i="1"/>
  <c r="K39" i="1"/>
  <c r="L39" i="1"/>
  <c r="C79" i="1"/>
  <c r="D79" i="1"/>
  <c r="E79" i="1"/>
  <c r="F79" i="1"/>
  <c r="G79" i="1"/>
  <c r="H79" i="1"/>
  <c r="I79" i="1"/>
  <c r="J79" i="1"/>
  <c r="K79" i="1"/>
  <c r="L79" i="1"/>
  <c r="C40" i="2"/>
  <c r="D40" i="2"/>
  <c r="E40" i="2"/>
  <c r="F40" i="2"/>
  <c r="G40" i="2"/>
  <c r="H40" i="2"/>
  <c r="I40" i="2"/>
  <c r="J40" i="2"/>
  <c r="K40" i="2"/>
  <c r="L40" i="2"/>
  <c r="C19" i="8"/>
  <c r="D19" i="8"/>
  <c r="E19" i="8"/>
  <c r="F19" i="8"/>
  <c r="G19" i="8"/>
  <c r="H19" i="8"/>
  <c r="I19" i="8"/>
  <c r="J19" i="8"/>
  <c r="K19" i="8"/>
  <c r="L19" i="8"/>
  <c r="C59" i="1"/>
  <c r="D59" i="1"/>
  <c r="E59" i="1"/>
  <c r="F59" i="1"/>
  <c r="G59" i="1"/>
  <c r="H59" i="1"/>
  <c r="I59" i="1"/>
  <c r="J59" i="1"/>
  <c r="K59" i="1"/>
  <c r="L59" i="1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Z83" i="18"/>
  <c r="T83" i="18"/>
  <c r="Q83" i="18"/>
  <c r="AC62" i="18"/>
  <c r="Q41" i="18"/>
  <c r="N20" i="18"/>
  <c r="H20" i="18"/>
  <c r="Q22" i="17"/>
  <c r="E22" i="17"/>
  <c r="Z22" i="17"/>
  <c r="T22" i="17"/>
  <c r="Q62" i="16"/>
  <c r="K41" i="16"/>
  <c r="Z41" i="16"/>
  <c r="T41" i="16"/>
  <c r="AC20" i="16"/>
  <c r="Q20" i="16"/>
  <c r="X116" i="15"/>
  <c r="AN116" i="15"/>
  <c r="H116" i="15"/>
  <c r="AD65" i="15"/>
  <c r="AJ65" i="15"/>
  <c r="AP65" i="15"/>
  <c r="AH65" i="15"/>
  <c r="AP43" i="15"/>
  <c r="T43" i="15"/>
  <c r="AL43" i="15"/>
  <c r="AF43" i="15"/>
  <c r="P43" i="15"/>
  <c r="R21" i="15"/>
  <c r="AL21" i="15"/>
  <c r="AF21" i="15"/>
  <c r="X21" i="15"/>
  <c r="J21" i="15"/>
  <c r="W62" i="14"/>
  <c r="K62" i="14"/>
  <c r="AF41" i="14"/>
  <c r="N20" i="14"/>
  <c r="AC20" i="14"/>
  <c r="AF41" i="12"/>
  <c r="AC41" i="12"/>
  <c r="Q41" i="12"/>
  <c r="H62" i="12"/>
  <c r="W62" i="12"/>
  <c r="AF62" i="12"/>
  <c r="N62" i="12"/>
  <c r="K20" i="12"/>
  <c r="N20" i="12"/>
  <c r="AC20" i="7"/>
  <c r="AF20" i="7"/>
  <c r="Z20" i="7"/>
  <c r="N20" i="7"/>
  <c r="T62" i="6"/>
  <c r="H62" i="6"/>
  <c r="Q62" i="6"/>
  <c r="K62" i="6"/>
  <c r="E62" i="6"/>
  <c r="Q41" i="6"/>
  <c r="E41" i="6"/>
  <c r="Z41" i="6"/>
  <c r="T41" i="6"/>
  <c r="AC20" i="6"/>
  <c r="Q20" i="6"/>
  <c r="E20" i="6"/>
  <c r="N20" i="6"/>
  <c r="Z62" i="11"/>
  <c r="AC41" i="11"/>
  <c r="W41" i="11"/>
  <c r="T41" i="11"/>
  <c r="T20" i="11"/>
  <c r="N20" i="11"/>
  <c r="H20" i="11"/>
  <c r="AF20" i="11"/>
  <c r="AC20" i="11"/>
  <c r="Q20" i="11"/>
  <c r="T20" i="18"/>
  <c r="K20" i="18"/>
  <c r="AC41" i="18"/>
  <c r="W41" i="18"/>
  <c r="H41" i="18"/>
  <c r="AF41" i="18"/>
  <c r="E41" i="18"/>
  <c r="AB21" i="15"/>
  <c r="L21" i="15"/>
  <c r="AP21" i="15"/>
  <c r="Z21" i="15"/>
  <c r="AJ21" i="15"/>
  <c r="T21" i="15"/>
  <c r="AN43" i="15"/>
  <c r="X43" i="15"/>
  <c r="H43" i="15"/>
  <c r="AB43" i="15"/>
  <c r="L43" i="15"/>
  <c r="AJ43" i="15"/>
  <c r="K20" i="14"/>
  <c r="W20" i="14"/>
  <c r="AF20" i="6"/>
  <c r="W20" i="6"/>
  <c r="H20" i="6"/>
  <c r="T20" i="6"/>
  <c r="K20" i="6"/>
  <c r="AC41" i="14"/>
  <c r="T41" i="14"/>
  <c r="H41" i="14"/>
  <c r="K41" i="14"/>
  <c r="E41" i="14"/>
  <c r="H41" i="11"/>
  <c r="AC41" i="6"/>
  <c r="W41" i="6"/>
  <c r="H41" i="6"/>
  <c r="AF41" i="6"/>
  <c r="H83" i="18"/>
  <c r="AF83" i="18"/>
  <c r="AC83" i="18"/>
  <c r="AC22" i="17"/>
  <c r="W22" i="17"/>
  <c r="H22" i="17"/>
  <c r="AF22" i="17"/>
  <c r="W20" i="16"/>
  <c r="AF20" i="16"/>
  <c r="E20" i="16"/>
  <c r="AC41" i="16"/>
  <c r="W41" i="16"/>
  <c r="H41" i="16"/>
  <c r="AF41" i="16"/>
  <c r="T62" i="16"/>
  <c r="W62" i="16"/>
  <c r="K62" i="16"/>
  <c r="AF62" i="16"/>
  <c r="AP116" i="15"/>
  <c r="AF116" i="15"/>
  <c r="P116" i="15"/>
  <c r="AB116" i="15"/>
  <c r="L116" i="15"/>
  <c r="AJ116" i="15"/>
  <c r="T116" i="15"/>
  <c r="AC20" i="12"/>
  <c r="W20" i="12"/>
  <c r="H20" i="12"/>
  <c r="AF20" i="12"/>
  <c r="E20" i="12"/>
  <c r="AN65" i="15"/>
  <c r="X65" i="15"/>
  <c r="H65" i="15"/>
  <c r="AL65" i="15"/>
  <c r="V65" i="15"/>
  <c r="F65" i="15"/>
  <c r="AF65" i="15"/>
  <c r="P65" i="15"/>
  <c r="AF62" i="14"/>
  <c r="H62" i="14"/>
  <c r="T62" i="14"/>
  <c r="AF62" i="18"/>
  <c r="W62" i="18"/>
  <c r="H62" i="18"/>
  <c r="T62" i="18"/>
  <c r="K62" i="18"/>
  <c r="N62" i="11"/>
  <c r="H62" i="11"/>
  <c r="AF62" i="11"/>
  <c r="Q62" i="11"/>
  <c r="T62" i="12"/>
  <c r="Q62" i="12"/>
  <c r="K62" i="12"/>
  <c r="B62" i="1"/>
  <c r="C95" i="1"/>
  <c r="D95" i="1"/>
  <c r="E95" i="1"/>
  <c r="F95" i="1"/>
  <c r="G95" i="1"/>
  <c r="H95" i="1"/>
  <c r="I95" i="1"/>
  <c r="J95" i="1"/>
  <c r="K95" i="1"/>
  <c r="L95" i="1"/>
  <c r="C127" i="16"/>
  <c r="D127" i="16"/>
  <c r="F127" i="16"/>
  <c r="G127" i="16"/>
  <c r="I127" i="16"/>
  <c r="K127" i="16"/>
  <c r="J127" i="16"/>
  <c r="L127" i="16"/>
  <c r="M127" i="16"/>
  <c r="O127" i="16"/>
  <c r="Q127" i="16"/>
  <c r="P127" i="16"/>
  <c r="R127" i="16"/>
  <c r="S127" i="16"/>
  <c r="U127" i="16"/>
  <c r="V127" i="16"/>
  <c r="X127" i="16"/>
  <c r="Y127" i="16"/>
  <c r="AA127" i="16"/>
  <c r="AB127" i="16"/>
  <c r="AD127" i="16"/>
  <c r="AE127" i="16"/>
  <c r="Z127" i="16"/>
  <c r="E127" i="16"/>
  <c r="AC127" i="16"/>
  <c r="AF127" i="16"/>
  <c r="T127" i="16"/>
  <c r="H127" i="16"/>
  <c r="W127" i="16"/>
  <c r="N127" i="16"/>
  <c r="AD110" i="16"/>
  <c r="AA110" i="16"/>
  <c r="X110" i="16"/>
  <c r="U110" i="16"/>
  <c r="R110" i="16"/>
  <c r="O110" i="16"/>
  <c r="L110" i="16"/>
  <c r="I110" i="16"/>
  <c r="F110" i="16"/>
  <c r="C110" i="16"/>
  <c r="C82" i="16"/>
  <c r="D82" i="16"/>
  <c r="F82" i="16"/>
  <c r="G82" i="16"/>
  <c r="H82" i="16"/>
  <c r="I82" i="16"/>
  <c r="J82" i="16"/>
  <c r="L82" i="16"/>
  <c r="M82" i="16"/>
  <c r="O82" i="16"/>
  <c r="P82" i="16"/>
  <c r="R82" i="16"/>
  <c r="S82" i="16"/>
  <c r="U82" i="16"/>
  <c r="V82" i="16"/>
  <c r="X82" i="16"/>
  <c r="Y82" i="16"/>
  <c r="AA82" i="16"/>
  <c r="AB82" i="16"/>
  <c r="AD82" i="16"/>
  <c r="AE82" i="16"/>
  <c r="AF82" i="16"/>
  <c r="C103" i="16"/>
  <c r="D103" i="16"/>
  <c r="F103" i="16"/>
  <c r="G103" i="16"/>
  <c r="I103" i="16"/>
  <c r="J103" i="16"/>
  <c r="L103" i="16"/>
  <c r="M103" i="16"/>
  <c r="O103" i="16"/>
  <c r="P103" i="16"/>
  <c r="R103" i="16"/>
  <c r="S103" i="16"/>
  <c r="U103" i="16"/>
  <c r="V103" i="16"/>
  <c r="X103" i="16"/>
  <c r="Y103" i="16"/>
  <c r="Z103" i="16"/>
  <c r="AA103" i="16"/>
  <c r="AB103" i="16"/>
  <c r="AD103" i="16"/>
  <c r="AE103" i="16"/>
  <c r="F72" i="15"/>
  <c r="F76" i="15"/>
  <c r="F80" i="15"/>
  <c r="F84" i="15"/>
  <c r="F88" i="15"/>
  <c r="F90" i="15"/>
  <c r="D83" i="1"/>
  <c r="E83" i="1"/>
  <c r="F83" i="1"/>
  <c r="G83" i="1"/>
  <c r="H83" i="1"/>
  <c r="I83" i="1"/>
  <c r="J83" i="1"/>
  <c r="K83" i="1"/>
  <c r="L83" i="1"/>
  <c r="B82" i="1"/>
  <c r="C83" i="1"/>
  <c r="B135" i="22"/>
  <c r="B137" i="21"/>
  <c r="B49" i="22"/>
  <c r="B91" i="21"/>
  <c r="B48" i="21"/>
  <c r="R65" i="16"/>
  <c r="AD86" i="16"/>
  <c r="X86" i="16"/>
  <c r="AA86" i="16"/>
  <c r="U86" i="16"/>
  <c r="R86" i="16"/>
  <c r="O86" i="16"/>
  <c r="L86" i="16"/>
  <c r="I86" i="16"/>
  <c r="F86" i="16"/>
  <c r="C86" i="16"/>
  <c r="AD65" i="16"/>
  <c r="AA65" i="16"/>
  <c r="X65" i="16"/>
  <c r="U65" i="16"/>
  <c r="O65" i="16"/>
  <c r="L65" i="16"/>
  <c r="I65" i="16"/>
  <c r="I45" i="16"/>
  <c r="F65" i="16"/>
  <c r="F45" i="16"/>
  <c r="C65" i="16"/>
  <c r="C45" i="16"/>
  <c r="C3" i="8"/>
  <c r="C6" i="17"/>
  <c r="B2" i="8"/>
  <c r="C4" i="19"/>
  <c r="C24" i="12"/>
  <c r="F24" i="12"/>
  <c r="I24" i="12"/>
  <c r="L24" i="12"/>
  <c r="O24" i="12"/>
  <c r="R24" i="12"/>
  <c r="U24" i="12"/>
  <c r="X24" i="12"/>
  <c r="AA24" i="12"/>
  <c r="AD24" i="12"/>
  <c r="H73" i="15"/>
  <c r="H77" i="15"/>
  <c r="H81" i="15"/>
  <c r="H85" i="15"/>
  <c r="H89" i="15"/>
  <c r="D73" i="15"/>
  <c r="D77" i="15"/>
  <c r="D81" i="15"/>
  <c r="D85" i="15"/>
  <c r="D89" i="15"/>
  <c r="AD45" i="12"/>
  <c r="K3" i="21"/>
  <c r="U3" i="18"/>
  <c r="U45" i="18"/>
  <c r="U66" i="18"/>
  <c r="X3" i="18"/>
  <c r="X45" i="18"/>
  <c r="X66" i="18"/>
  <c r="AA3" i="18"/>
  <c r="AA45" i="18"/>
  <c r="AA66" i="18"/>
  <c r="AA24" i="18"/>
  <c r="X24" i="18"/>
  <c r="U24" i="18"/>
  <c r="B89" i="15"/>
  <c r="B87" i="15"/>
  <c r="B85" i="15"/>
  <c r="B83" i="15"/>
  <c r="B81" i="15"/>
  <c r="B79" i="15"/>
  <c r="B77" i="15"/>
  <c r="B73" i="15"/>
  <c r="B75" i="15"/>
  <c r="B71" i="15"/>
  <c r="B69" i="15"/>
  <c r="K49" i="21"/>
  <c r="K92" i="21"/>
  <c r="K138" i="21"/>
  <c r="K3" i="22"/>
  <c r="K50" i="22"/>
  <c r="K90" i="22"/>
  <c r="K136" i="22"/>
  <c r="K4" i="20"/>
  <c r="K4" i="19"/>
  <c r="J4" i="19"/>
  <c r="J4" i="20"/>
  <c r="J136" i="22"/>
  <c r="J90" i="22"/>
  <c r="J50" i="22"/>
  <c r="J3" i="22"/>
  <c r="J138" i="21"/>
  <c r="J92" i="21"/>
  <c r="J49" i="21"/>
  <c r="J3" i="21"/>
  <c r="I3" i="21"/>
  <c r="I49" i="21"/>
  <c r="I92" i="21"/>
  <c r="I138" i="21"/>
  <c r="I3" i="22"/>
  <c r="I50" i="22"/>
  <c r="I90" i="22"/>
  <c r="I136" i="22"/>
  <c r="I4" i="20"/>
  <c r="I4" i="19"/>
  <c r="AA3" i="16"/>
  <c r="X3" i="16"/>
  <c r="U3" i="16"/>
  <c r="AA24" i="16"/>
  <c r="X24" i="16"/>
  <c r="U24" i="16"/>
  <c r="AA5" i="17"/>
  <c r="X5" i="17"/>
  <c r="U5" i="17"/>
  <c r="AA45" i="16"/>
  <c r="X45" i="16"/>
  <c r="U45" i="16"/>
  <c r="R5" i="23"/>
  <c r="M5" i="23"/>
  <c r="H5" i="23"/>
  <c r="AA3" i="15"/>
  <c r="AA25" i="15"/>
  <c r="AA47" i="15"/>
  <c r="AA98" i="15"/>
  <c r="U3" i="14"/>
  <c r="U24" i="14"/>
  <c r="U45" i="14"/>
  <c r="U3" i="24"/>
  <c r="U24" i="24"/>
  <c r="U45" i="24"/>
  <c r="U3" i="13"/>
  <c r="U24" i="13"/>
  <c r="U45" i="13"/>
  <c r="U3" i="12"/>
  <c r="U45" i="12"/>
  <c r="X45" i="12"/>
  <c r="X3" i="12"/>
  <c r="X45" i="13"/>
  <c r="X24" i="13"/>
  <c r="X3" i="13"/>
  <c r="X45" i="24"/>
  <c r="X24" i="24"/>
  <c r="X3" i="24"/>
  <c r="X45" i="14"/>
  <c r="X24" i="14"/>
  <c r="X3" i="14"/>
  <c r="AE98" i="15"/>
  <c r="AE47" i="15"/>
  <c r="AE25" i="15"/>
  <c r="AE3" i="15"/>
  <c r="AI3" i="15"/>
  <c r="AI25" i="15"/>
  <c r="AI47" i="15"/>
  <c r="AI98" i="15"/>
  <c r="AA3" i="14"/>
  <c r="AA24" i="14"/>
  <c r="AA45" i="14"/>
  <c r="AA3" i="24"/>
  <c r="AA24" i="24"/>
  <c r="AA45" i="24"/>
  <c r="AA3" i="13"/>
  <c r="AA24" i="13"/>
  <c r="AA45" i="13"/>
  <c r="AA3" i="12"/>
  <c r="AA45" i="12"/>
  <c r="U3" i="7"/>
  <c r="X3" i="7"/>
  <c r="AA3" i="7"/>
  <c r="AA3" i="6"/>
  <c r="AA24" i="6"/>
  <c r="AA45" i="6"/>
  <c r="X45" i="6"/>
  <c r="X24" i="6"/>
  <c r="X3" i="6"/>
  <c r="U3" i="6"/>
  <c r="U24" i="6"/>
  <c r="U45" i="6"/>
  <c r="U45" i="11"/>
  <c r="U24" i="11"/>
  <c r="U3" i="11"/>
  <c r="X3" i="11"/>
  <c r="X24" i="11"/>
  <c r="X45" i="11"/>
  <c r="AA45" i="11"/>
  <c r="AA24" i="11"/>
  <c r="AA3" i="11"/>
  <c r="K4" i="5"/>
  <c r="K5" i="10"/>
  <c r="K25" i="10"/>
  <c r="K45" i="10"/>
  <c r="K65" i="10"/>
  <c r="K85" i="10"/>
  <c r="K105" i="10"/>
  <c r="K125" i="10"/>
  <c r="K145" i="10"/>
  <c r="K165" i="10"/>
  <c r="K5" i="9"/>
  <c r="K25" i="9"/>
  <c r="K45" i="9"/>
  <c r="K65" i="9"/>
  <c r="K85" i="9"/>
  <c r="K105" i="9"/>
  <c r="K125" i="9"/>
  <c r="K145" i="9"/>
  <c r="K165" i="9"/>
  <c r="K5" i="4"/>
  <c r="K25" i="4"/>
  <c r="K45" i="4"/>
  <c r="K65" i="4"/>
  <c r="K85" i="4"/>
  <c r="K105" i="4"/>
  <c r="K125" i="4"/>
  <c r="K145" i="4"/>
  <c r="K165" i="4"/>
  <c r="J165" i="4"/>
  <c r="J145" i="4"/>
  <c r="J125" i="4"/>
  <c r="J105" i="4"/>
  <c r="J85" i="4"/>
  <c r="J65" i="4"/>
  <c r="J45" i="4"/>
  <c r="J25" i="4"/>
  <c r="J5" i="4"/>
  <c r="J165" i="9"/>
  <c r="J145" i="9"/>
  <c r="J125" i="9"/>
  <c r="J105" i="9"/>
  <c r="J85" i="9"/>
  <c r="J65" i="9"/>
  <c r="J45" i="9"/>
  <c r="J25" i="9"/>
  <c r="J5" i="9"/>
  <c r="J5" i="10"/>
  <c r="J25" i="10"/>
  <c r="J45" i="10"/>
  <c r="J65" i="10"/>
  <c r="J85" i="10"/>
  <c r="J105" i="10"/>
  <c r="J125" i="10"/>
  <c r="J145" i="10"/>
  <c r="J165" i="10"/>
  <c r="J4" i="5"/>
  <c r="I4" i="5"/>
  <c r="I165" i="10"/>
  <c r="I145" i="10"/>
  <c r="I125" i="10"/>
  <c r="I105" i="10"/>
  <c r="I85" i="10"/>
  <c r="I65" i="10"/>
  <c r="I45" i="10"/>
  <c r="I25" i="10"/>
  <c r="I5" i="10"/>
  <c r="I5" i="9"/>
  <c r="I25" i="9"/>
  <c r="I45" i="9"/>
  <c r="I65" i="9"/>
  <c r="I85" i="9"/>
  <c r="I105" i="9"/>
  <c r="I125" i="9"/>
  <c r="I145" i="9"/>
  <c r="I165" i="9"/>
  <c r="I5" i="4"/>
  <c r="I25" i="4"/>
  <c r="I45" i="4"/>
  <c r="I65" i="4"/>
  <c r="I85" i="4"/>
  <c r="I105" i="4"/>
  <c r="I125" i="4"/>
  <c r="I145" i="4"/>
  <c r="I165" i="4"/>
  <c r="K44" i="2"/>
  <c r="J44" i="2"/>
  <c r="J24" i="2"/>
  <c r="K24" i="2"/>
  <c r="AA3" i="2"/>
  <c r="X3" i="2"/>
  <c r="U3" i="2"/>
  <c r="I24" i="2"/>
  <c r="I44" i="2"/>
  <c r="I3" i="1"/>
  <c r="H44" i="2"/>
  <c r="R3" i="2"/>
  <c r="H24" i="2"/>
  <c r="H165" i="4"/>
  <c r="H145" i="4"/>
  <c r="H125" i="4"/>
  <c r="H105" i="4"/>
  <c r="H85" i="4"/>
  <c r="H65" i="4"/>
  <c r="H45" i="4"/>
  <c r="H25" i="4"/>
  <c r="H5" i="4"/>
  <c r="H165" i="9"/>
  <c r="H145" i="9"/>
  <c r="H125" i="9"/>
  <c r="H105" i="9"/>
  <c r="H85" i="9"/>
  <c r="H65" i="9"/>
  <c r="H45" i="9"/>
  <c r="H25" i="9"/>
  <c r="H5" i="9"/>
  <c r="H5" i="10"/>
  <c r="H25" i="10"/>
  <c r="H45" i="10"/>
  <c r="H65" i="10"/>
  <c r="H85" i="10"/>
  <c r="H105" i="10"/>
  <c r="H125" i="10"/>
  <c r="H145" i="10"/>
  <c r="H165" i="10"/>
  <c r="H4" i="5"/>
  <c r="R3" i="6"/>
  <c r="R24" i="6"/>
  <c r="R3" i="11"/>
  <c r="R24" i="11"/>
  <c r="R45" i="11"/>
  <c r="R45" i="6"/>
  <c r="R3" i="7"/>
  <c r="R45" i="12"/>
  <c r="R3" i="12"/>
  <c r="R3" i="13"/>
  <c r="R24" i="13"/>
  <c r="R45" i="13"/>
  <c r="R45" i="24"/>
  <c r="R24" i="24"/>
  <c r="R3" i="24"/>
  <c r="R45" i="14"/>
  <c r="R24" i="14"/>
  <c r="R3" i="14"/>
  <c r="W98" i="15"/>
  <c r="W47" i="15"/>
  <c r="W25" i="15"/>
  <c r="W3" i="15"/>
  <c r="C5" i="23"/>
  <c r="R45" i="16"/>
  <c r="R24" i="16"/>
  <c r="R3" i="16"/>
  <c r="R5" i="17"/>
  <c r="R66" i="18"/>
  <c r="R45" i="18"/>
  <c r="R24" i="18"/>
  <c r="R3" i="18"/>
  <c r="H4" i="19"/>
  <c r="H4" i="20"/>
  <c r="H136" i="22"/>
  <c r="H90" i="22"/>
  <c r="H50" i="22"/>
  <c r="H3" i="22"/>
  <c r="H138" i="21"/>
  <c r="H92" i="21"/>
  <c r="H49" i="21"/>
  <c r="H3" i="21"/>
  <c r="G3" i="21"/>
  <c r="G49" i="21"/>
  <c r="G92" i="21"/>
  <c r="G138" i="21"/>
  <c r="G3" i="22"/>
  <c r="G50" i="22"/>
  <c r="G90" i="22"/>
  <c r="G136" i="22"/>
  <c r="G4" i="20"/>
  <c r="G4" i="19"/>
  <c r="O3" i="18"/>
  <c r="O24" i="18"/>
  <c r="O45" i="18"/>
  <c r="O66" i="18"/>
  <c r="O5" i="17"/>
  <c r="O3" i="16"/>
  <c r="O24" i="16"/>
  <c r="O45" i="16"/>
  <c r="O3" i="15"/>
  <c r="S98" i="15"/>
  <c r="S47" i="15"/>
  <c r="S25" i="15"/>
  <c r="S3" i="15"/>
  <c r="O3" i="14"/>
  <c r="L3" i="14"/>
  <c r="L24" i="14"/>
  <c r="L45" i="14"/>
  <c r="O24" i="14"/>
  <c r="O45" i="14"/>
  <c r="O3" i="24"/>
  <c r="O24" i="24"/>
  <c r="O45" i="24"/>
  <c r="O45" i="13"/>
  <c r="O24" i="13"/>
  <c r="O3" i="13"/>
  <c r="O3" i="12"/>
  <c r="O45" i="12"/>
  <c r="O3" i="7"/>
  <c r="O45" i="6"/>
  <c r="O24" i="6"/>
  <c r="O3" i="6"/>
  <c r="O45" i="11"/>
  <c r="O24" i="11"/>
  <c r="O3" i="11"/>
  <c r="G4" i="5"/>
  <c r="G165" i="10"/>
  <c r="G145" i="10"/>
  <c r="G125" i="10"/>
  <c r="G105" i="10"/>
  <c r="G85" i="10"/>
  <c r="G65" i="10"/>
  <c r="G45" i="10"/>
  <c r="G25" i="10"/>
  <c r="G5" i="10"/>
  <c r="G5" i="9"/>
  <c r="G25" i="9"/>
  <c r="G45" i="9"/>
  <c r="G65" i="9"/>
  <c r="G85" i="9"/>
  <c r="G105" i="9"/>
  <c r="G125" i="9"/>
  <c r="G145" i="9"/>
  <c r="G165" i="9"/>
  <c r="G5" i="4"/>
  <c r="G25" i="4"/>
  <c r="G45" i="4"/>
  <c r="G65" i="4"/>
  <c r="G85" i="4"/>
  <c r="G105" i="4"/>
  <c r="G125" i="4"/>
  <c r="G145" i="4"/>
  <c r="G165" i="4"/>
  <c r="G44" i="2"/>
  <c r="G24" i="2"/>
  <c r="O3" i="2"/>
  <c r="G23" i="1"/>
  <c r="L3" i="2"/>
  <c r="F24" i="2"/>
  <c r="F44" i="2"/>
  <c r="F165" i="4"/>
  <c r="F145" i="4"/>
  <c r="F125" i="4"/>
  <c r="F105" i="4"/>
  <c r="F85" i="4"/>
  <c r="F65" i="4"/>
  <c r="F45" i="4"/>
  <c r="F25" i="4"/>
  <c r="F5" i="4"/>
  <c r="F165" i="9"/>
  <c r="F145" i="9"/>
  <c r="F125" i="9"/>
  <c r="F105" i="9"/>
  <c r="F85" i="9"/>
  <c r="F65" i="9"/>
  <c r="F45" i="9"/>
  <c r="F25" i="9"/>
  <c r="F5" i="9"/>
  <c r="F5" i="10"/>
  <c r="F25" i="10"/>
  <c r="F45" i="10"/>
  <c r="F65" i="10"/>
  <c r="F85" i="10"/>
  <c r="F105" i="10"/>
  <c r="F125" i="10"/>
  <c r="F145" i="10"/>
  <c r="F165" i="10"/>
  <c r="F4" i="5"/>
  <c r="L3" i="11"/>
  <c r="L24" i="11"/>
  <c r="L45" i="11"/>
  <c r="L45" i="6"/>
  <c r="L3" i="6"/>
  <c r="L24" i="6"/>
  <c r="L3" i="7"/>
  <c r="L45" i="12"/>
  <c r="L3" i="12"/>
  <c r="L3" i="13"/>
  <c r="L24" i="13"/>
  <c r="L45" i="24"/>
  <c r="L24" i="24"/>
  <c r="L3" i="24"/>
  <c r="O25" i="15"/>
  <c r="O47" i="15"/>
  <c r="O98" i="15"/>
  <c r="L3" i="16"/>
  <c r="L24" i="16"/>
  <c r="L45" i="16"/>
  <c r="L5" i="17"/>
  <c r="L66" i="18"/>
  <c r="L45" i="18"/>
  <c r="L24" i="18"/>
  <c r="L3" i="18"/>
  <c r="F4" i="19"/>
  <c r="F4" i="20"/>
  <c r="F136" i="22"/>
  <c r="F90" i="22"/>
  <c r="F50" i="22"/>
  <c r="F3" i="22"/>
  <c r="F138" i="21"/>
  <c r="F92" i="21"/>
  <c r="F49" i="21"/>
  <c r="F3" i="21"/>
  <c r="E3" i="21"/>
  <c r="E49" i="21"/>
  <c r="E92" i="21"/>
  <c r="E138" i="21"/>
  <c r="E3" i="22"/>
  <c r="E50" i="22"/>
  <c r="E90" i="22"/>
  <c r="E136" i="22"/>
  <c r="E4" i="20"/>
  <c r="E4" i="19"/>
  <c r="I3" i="18"/>
  <c r="I24" i="18"/>
  <c r="I45" i="18"/>
  <c r="I66" i="18"/>
  <c r="I5" i="17"/>
  <c r="I24" i="16"/>
  <c r="I3" i="16"/>
  <c r="K98" i="15"/>
  <c r="K47" i="15"/>
  <c r="K25" i="15"/>
  <c r="K3" i="15"/>
  <c r="I45" i="14"/>
  <c r="I24" i="14"/>
  <c r="I3" i="14"/>
  <c r="I45" i="24"/>
  <c r="I24" i="24"/>
  <c r="I3" i="24"/>
  <c r="I45" i="13"/>
  <c r="I24" i="13"/>
  <c r="I3" i="13"/>
  <c r="I45" i="12"/>
  <c r="I3" i="12"/>
  <c r="I3" i="7"/>
  <c r="I45" i="6"/>
  <c r="I24" i="6"/>
  <c r="I3" i="6"/>
  <c r="I3" i="11"/>
  <c r="I24" i="11"/>
  <c r="I45" i="11"/>
  <c r="E4" i="5"/>
  <c r="E65" i="10"/>
  <c r="E45" i="10"/>
  <c r="E25" i="10"/>
  <c r="E5" i="10"/>
  <c r="E85" i="10"/>
  <c r="E105" i="10"/>
  <c r="E125" i="10"/>
  <c r="E145" i="10"/>
  <c r="E165" i="10"/>
  <c r="E5" i="9"/>
  <c r="E25" i="9"/>
  <c r="E45" i="9"/>
  <c r="E65" i="9"/>
  <c r="E85" i="9"/>
  <c r="E105" i="9"/>
  <c r="E125" i="9"/>
  <c r="E145" i="9"/>
  <c r="E165" i="9"/>
  <c r="E5" i="4"/>
  <c r="E25" i="4"/>
  <c r="E45" i="4"/>
  <c r="E65" i="4"/>
  <c r="E85" i="4"/>
  <c r="E105" i="4"/>
  <c r="E125" i="4"/>
  <c r="E145" i="4"/>
  <c r="E165" i="4"/>
  <c r="E44" i="2"/>
  <c r="E24" i="2"/>
  <c r="I3" i="2"/>
  <c r="E23" i="1"/>
  <c r="D138" i="21"/>
  <c r="D92" i="21"/>
  <c r="D49" i="21"/>
  <c r="D3" i="21"/>
  <c r="D136" i="22"/>
  <c r="D90" i="22"/>
  <c r="D50" i="22"/>
  <c r="D3" i="22"/>
  <c r="D4" i="20"/>
  <c r="D4" i="19"/>
  <c r="F66" i="18"/>
  <c r="F45" i="18"/>
  <c r="F24" i="18"/>
  <c r="F3" i="18"/>
  <c r="F5" i="17"/>
  <c r="F3" i="16"/>
  <c r="F24" i="16"/>
  <c r="G3" i="15"/>
  <c r="G25" i="15"/>
  <c r="G47" i="15"/>
  <c r="G98" i="15"/>
  <c r="F3" i="14"/>
  <c r="F24" i="14"/>
  <c r="F45" i="14"/>
  <c r="F3" i="24"/>
  <c r="F24" i="24"/>
  <c r="F45" i="24"/>
  <c r="F3" i="13"/>
  <c r="F24" i="13"/>
  <c r="F45" i="13"/>
  <c r="F3" i="12"/>
  <c r="F45" i="12"/>
  <c r="F3" i="7"/>
  <c r="F3" i="6"/>
  <c r="F24" i="6"/>
  <c r="F45" i="6"/>
  <c r="F45" i="11"/>
  <c r="F24" i="11"/>
  <c r="F3" i="11"/>
  <c r="D4" i="5"/>
  <c r="D5" i="10"/>
  <c r="D25" i="10"/>
  <c r="D45" i="10"/>
  <c r="D65" i="10"/>
  <c r="D85" i="10"/>
  <c r="D105" i="10"/>
  <c r="D125" i="10"/>
  <c r="D145" i="10"/>
  <c r="D165" i="10"/>
  <c r="D165" i="9"/>
  <c r="D145" i="9"/>
  <c r="D125" i="9"/>
  <c r="D105" i="9"/>
  <c r="D85" i="9"/>
  <c r="D65" i="9"/>
  <c r="D45" i="9"/>
  <c r="D25" i="9"/>
  <c r="D5" i="9"/>
  <c r="D165" i="4"/>
  <c r="D145" i="4"/>
  <c r="D125" i="4"/>
  <c r="D105" i="4"/>
  <c r="D85" i="4"/>
  <c r="D65" i="4"/>
  <c r="D45" i="4"/>
  <c r="D25" i="4"/>
  <c r="D5" i="4"/>
  <c r="D44" i="2"/>
  <c r="D24" i="2"/>
  <c r="F3" i="2"/>
  <c r="D3" i="1"/>
  <c r="C138" i="21"/>
  <c r="C92" i="21"/>
  <c r="C49" i="21"/>
  <c r="C3" i="21"/>
  <c r="C3" i="22"/>
  <c r="C50" i="22"/>
  <c r="C90" i="22"/>
  <c r="C136" i="22"/>
  <c r="C4" i="20"/>
  <c r="C3" i="18"/>
  <c r="C24" i="18"/>
  <c r="C45" i="18"/>
  <c r="C66" i="18"/>
  <c r="C5" i="17"/>
  <c r="C24" i="16"/>
  <c r="C3" i="16"/>
  <c r="C98" i="15"/>
  <c r="C47" i="15"/>
  <c r="C25" i="15"/>
  <c r="C3" i="15"/>
  <c r="C45" i="14"/>
  <c r="C24" i="14"/>
  <c r="C3" i="14"/>
  <c r="C45" i="24"/>
  <c r="C24" i="24"/>
  <c r="C3" i="24"/>
  <c r="C45" i="13"/>
  <c r="C24" i="13"/>
  <c r="C3" i="13"/>
  <c r="C45" i="12"/>
  <c r="C3" i="12"/>
  <c r="C3" i="7"/>
  <c r="C45" i="6"/>
  <c r="C24" i="6"/>
  <c r="C3" i="6"/>
  <c r="C45" i="11"/>
  <c r="C24" i="11"/>
  <c r="C3" i="11"/>
  <c r="C4" i="5"/>
  <c r="C165" i="10"/>
  <c r="C145" i="10"/>
  <c r="C125" i="10"/>
  <c r="C105" i="10"/>
  <c r="C85" i="10"/>
  <c r="C65" i="10"/>
  <c r="C45" i="10"/>
  <c r="C25" i="10"/>
  <c r="C5" i="10"/>
  <c r="C5" i="9"/>
  <c r="C25" i="9"/>
  <c r="C45" i="9"/>
  <c r="C65" i="9"/>
  <c r="C85" i="9"/>
  <c r="C105" i="9"/>
  <c r="C125" i="9"/>
  <c r="C145" i="9"/>
  <c r="C165" i="9"/>
  <c r="C165" i="4"/>
  <c r="C145" i="4"/>
  <c r="C125" i="4"/>
  <c r="C105" i="4"/>
  <c r="C85" i="4"/>
  <c r="C65" i="4"/>
  <c r="C45" i="4"/>
  <c r="C25" i="4"/>
  <c r="C5" i="4"/>
  <c r="C44" i="2"/>
  <c r="C24" i="2"/>
  <c r="C3" i="2"/>
  <c r="C63" i="1"/>
  <c r="C43" i="1"/>
  <c r="C23" i="1"/>
  <c r="C3" i="1"/>
  <c r="D63" i="1"/>
  <c r="D43" i="1"/>
  <c r="D23" i="1"/>
  <c r="E63" i="1"/>
  <c r="E43" i="1"/>
  <c r="E3" i="1"/>
  <c r="F63" i="1"/>
  <c r="F43" i="1"/>
  <c r="F23" i="1"/>
  <c r="F3" i="1"/>
  <c r="G63" i="1"/>
  <c r="G43" i="1"/>
  <c r="G3" i="1"/>
  <c r="H63" i="1"/>
  <c r="H43" i="1"/>
  <c r="H23" i="1"/>
  <c r="H3" i="1"/>
  <c r="I63" i="1"/>
  <c r="I43" i="1"/>
  <c r="I23" i="1"/>
  <c r="J3" i="1"/>
  <c r="K63" i="1"/>
  <c r="K43" i="1"/>
  <c r="K23" i="1"/>
  <c r="K3" i="1"/>
  <c r="J63" i="1"/>
  <c r="J43" i="1"/>
  <c r="J23" i="1"/>
  <c r="L3" i="1"/>
  <c r="B2" i="21"/>
  <c r="B89" i="22"/>
  <c r="B2" i="22"/>
  <c r="B2" i="20"/>
  <c r="B2" i="19"/>
  <c r="B43" i="2"/>
  <c r="B23" i="2"/>
  <c r="B2" i="2"/>
  <c r="B42" i="1"/>
  <c r="B22" i="1"/>
  <c r="B2" i="1"/>
  <c r="D3" i="8"/>
  <c r="E3" i="8"/>
  <c r="F3" i="8"/>
  <c r="G3" i="8"/>
  <c r="H3" i="8"/>
  <c r="I3" i="8"/>
  <c r="J3" i="8"/>
  <c r="K3" i="8"/>
  <c r="L136" i="22"/>
  <c r="L90" i="22"/>
  <c r="L50" i="22"/>
  <c r="L138" i="21"/>
  <c r="L92" i="21"/>
  <c r="L49" i="21"/>
  <c r="L3" i="21"/>
  <c r="L3" i="22"/>
  <c r="L4" i="20"/>
  <c r="L4" i="19"/>
  <c r="AD3" i="18"/>
  <c r="AD24" i="18"/>
  <c r="AD45" i="18"/>
  <c r="AD66" i="18"/>
  <c r="AD5" i="17"/>
  <c r="AD45" i="16"/>
  <c r="AD24" i="16"/>
  <c r="AD3" i="16"/>
  <c r="W5" i="23"/>
  <c r="AD3" i="14"/>
  <c r="AD24" i="14"/>
  <c r="AD45" i="14"/>
  <c r="AD3" i="24"/>
  <c r="AD24" i="24"/>
  <c r="AD45" i="24"/>
  <c r="AD3" i="13"/>
  <c r="AD24" i="13"/>
  <c r="AD45" i="13"/>
  <c r="AD3" i="12"/>
  <c r="AD3" i="7"/>
  <c r="AD3" i="6"/>
  <c r="AD24" i="6"/>
  <c r="AD45" i="6"/>
  <c r="AD45" i="11"/>
  <c r="AD24" i="11"/>
  <c r="AD3" i="11"/>
  <c r="L4" i="5"/>
  <c r="L165" i="10"/>
  <c r="L145" i="10"/>
  <c r="L125" i="10"/>
  <c r="L105" i="10"/>
  <c r="L85" i="10"/>
  <c r="L65" i="10"/>
  <c r="L45" i="10"/>
  <c r="L25" i="10"/>
  <c r="L5" i="10"/>
  <c r="L165" i="9"/>
  <c r="L145" i="9"/>
  <c r="L125" i="9"/>
  <c r="L105" i="9"/>
  <c r="L85" i="9"/>
  <c r="L65" i="9"/>
  <c r="L45" i="9"/>
  <c r="L25" i="9"/>
  <c r="L5" i="9"/>
  <c r="L165" i="4"/>
  <c r="L145" i="4"/>
  <c r="L125" i="4"/>
  <c r="L105" i="4"/>
  <c r="L85" i="4"/>
  <c r="L65" i="4"/>
  <c r="L45" i="4"/>
  <c r="L25" i="4"/>
  <c r="L5" i="4"/>
  <c r="AD3" i="2"/>
  <c r="L44" i="2"/>
  <c r="L24" i="2"/>
  <c r="L63" i="1"/>
  <c r="L43" i="1"/>
  <c r="L23" i="1"/>
  <c r="L3" i="8"/>
  <c r="AM98" i="15"/>
  <c r="AM47" i="15"/>
  <c r="AM25" i="15"/>
  <c r="AM3" i="15"/>
  <c r="G75" i="15"/>
  <c r="G73" i="15"/>
  <c r="G71" i="15"/>
  <c r="G72" i="15"/>
  <c r="G74" i="15"/>
  <c r="G76" i="15"/>
  <c r="G78" i="15"/>
  <c r="G80" i="15"/>
  <c r="G82" i="15"/>
  <c r="G84" i="15"/>
  <c r="G86" i="15"/>
  <c r="G88" i="15"/>
  <c r="G90" i="15"/>
  <c r="G89" i="15"/>
  <c r="C72" i="15"/>
  <c r="D71" i="15"/>
  <c r="C74" i="15"/>
  <c r="C76" i="15"/>
  <c r="D75" i="15"/>
  <c r="C78" i="15"/>
  <c r="C80" i="15"/>
  <c r="C82" i="15"/>
  <c r="C84" i="15"/>
  <c r="C86" i="15"/>
  <c r="C88" i="15"/>
  <c r="C90" i="15"/>
  <c r="C71" i="15"/>
  <c r="D87" i="15"/>
  <c r="C87" i="15"/>
  <c r="D83" i="15"/>
  <c r="C83" i="15"/>
  <c r="D79" i="15"/>
  <c r="C79" i="15"/>
  <c r="C75" i="15"/>
  <c r="C77" i="15"/>
  <c r="H87" i="15"/>
  <c r="H83" i="15"/>
  <c r="H79" i="15"/>
  <c r="H75" i="15"/>
  <c r="H71" i="15"/>
  <c r="G79" i="15"/>
  <c r="G81" i="15"/>
  <c r="G83" i="15"/>
  <c r="G87" i="15"/>
  <c r="E71" i="15"/>
  <c r="E74" i="15"/>
  <c r="E73" i="15"/>
  <c r="E75" i="15"/>
  <c r="E78" i="15"/>
  <c r="E77" i="15"/>
  <c r="E79" i="15"/>
  <c r="E82" i="15"/>
  <c r="E81" i="15"/>
  <c r="E83" i="15"/>
  <c r="E86" i="15"/>
  <c r="E85" i="15"/>
  <c r="E87" i="15"/>
  <c r="E90" i="15"/>
  <c r="E89" i="15"/>
  <c r="AF6" i="17"/>
  <c r="AD6" i="17"/>
  <c r="AC6" i="17"/>
  <c r="AA6" i="17"/>
  <c r="Z6" i="17"/>
  <c r="X6" i="17"/>
  <c r="W6" i="17"/>
  <c r="U6" i="17"/>
  <c r="T6" i="17"/>
  <c r="R6" i="17"/>
  <c r="O6" i="17"/>
  <c r="Q6" i="17"/>
  <c r="N6" i="17"/>
  <c r="K6" i="17"/>
  <c r="H6" i="17"/>
  <c r="E6" i="17"/>
  <c r="L6" i="17"/>
  <c r="I6" i="17"/>
  <c r="F6" i="17"/>
  <c r="F86" i="15"/>
  <c r="F82" i="15"/>
  <c r="F78" i="15"/>
  <c r="F74" i="15"/>
  <c r="L45" i="13"/>
  <c r="C89" i="15"/>
  <c r="D90" i="15"/>
  <c r="D86" i="15"/>
  <c r="D82" i="15"/>
  <c r="D78" i="15"/>
  <c r="D74" i="15"/>
  <c r="H90" i="15"/>
  <c r="H86" i="15"/>
  <c r="H82" i="15"/>
  <c r="H78" i="15"/>
  <c r="H74" i="15"/>
  <c r="C81" i="15"/>
  <c r="C85" i="15"/>
  <c r="G85" i="15"/>
  <c r="C73" i="15"/>
  <c r="G77" i="15"/>
  <c r="D88" i="15"/>
  <c r="D84" i="15"/>
  <c r="D80" i="15"/>
  <c r="D76" i="15"/>
  <c r="D72" i="15"/>
  <c r="H88" i="15"/>
  <c r="H84" i="15"/>
  <c r="H80" i="15"/>
  <c r="H76" i="15"/>
  <c r="H72" i="15"/>
  <c r="Q103" i="16"/>
  <c r="K103" i="16"/>
  <c r="E103" i="16"/>
  <c r="W82" i="16"/>
  <c r="Q82" i="16"/>
  <c r="K82" i="16"/>
  <c r="AF103" i="16"/>
  <c r="AC103" i="16"/>
  <c r="H103" i="16"/>
  <c r="N82" i="16"/>
  <c r="W103" i="16"/>
  <c r="Z82" i="16"/>
  <c r="T82" i="16"/>
  <c r="E82" i="16"/>
  <c r="T103" i="16"/>
  <c r="N103" i="16"/>
  <c r="AC82" i="16"/>
  <c r="F89" i="15"/>
  <c r="F85" i="15"/>
  <c r="F81" i="15"/>
  <c r="F77" i="15"/>
  <c r="F73" i="15"/>
  <c r="E84" i="15"/>
  <c r="E76" i="15"/>
  <c r="E88" i="15"/>
  <c r="E80" i="15"/>
  <c r="E72" i="15"/>
  <c r="F87" i="15"/>
  <c r="F83" i="15"/>
  <c r="F79" i="15"/>
  <c r="F75" i="15"/>
  <c r="F71" i="15"/>
</calcChain>
</file>

<file path=xl/sharedStrings.xml><?xml version="1.0" encoding="utf-8"?>
<sst xmlns="http://schemas.openxmlformats.org/spreadsheetml/2006/main" count="4680" uniqueCount="447">
  <si>
    <t>Pennsylvania's State System of Higher Education</t>
  </si>
  <si>
    <t>University</t>
  </si>
  <si>
    <t>UniversityName</t>
  </si>
  <si>
    <t>Year1</t>
  </si>
  <si>
    <t>Year2</t>
  </si>
  <si>
    <t>Year3</t>
  </si>
  <si>
    <t>Year4</t>
  </si>
  <si>
    <t>Year5</t>
  </si>
  <si>
    <t>Year6</t>
  </si>
  <si>
    <t>Year7</t>
  </si>
  <si>
    <t>Year8</t>
  </si>
  <si>
    <t>Year9</t>
  </si>
  <si>
    <t>Year10</t>
  </si>
  <si>
    <t>Bloomsburg</t>
  </si>
  <si>
    <t>California</t>
  </si>
  <si>
    <t>Cheyney</t>
  </si>
  <si>
    <t>Clarion</t>
  </si>
  <si>
    <t>East Stroudsburg</t>
  </si>
  <si>
    <t>Edinboro</t>
  </si>
  <si>
    <t>Indiana</t>
  </si>
  <si>
    <t>Kutztown</t>
  </si>
  <si>
    <t>Lock Haven</t>
  </si>
  <si>
    <t>Mansfield</t>
  </si>
  <si>
    <t>Millersville</t>
  </si>
  <si>
    <t>Shippensburg</t>
  </si>
  <si>
    <t>Slippery Rock</t>
  </si>
  <si>
    <t>West Chester</t>
  </si>
  <si>
    <t>System Total</t>
  </si>
  <si>
    <t xml:space="preserve">Note: Includes all enrollments--undergraduate, graduate, full-time, part-time; freeze date is 15th day of classes.  </t>
  </si>
  <si>
    <t>Source: Data Warehouse, Student Data Submission</t>
  </si>
  <si>
    <t>Official Reporting Date: End of the 15th day of classes</t>
  </si>
  <si>
    <t>Note: Includes clock hour students</t>
  </si>
  <si>
    <t>Notes: New Freshmen, New Transfers, and Continuing UG students include Associate and Bachelor degree-seeking students only. Certificate includes clock hour.</t>
  </si>
  <si>
    <t>UG</t>
  </si>
  <si>
    <t>GR</t>
  </si>
  <si>
    <t>Total</t>
  </si>
  <si>
    <t>UG1</t>
  </si>
  <si>
    <t>GR1</t>
  </si>
  <si>
    <t>Tot1</t>
  </si>
  <si>
    <t>UG2</t>
  </si>
  <si>
    <t>GR2</t>
  </si>
  <si>
    <t>Tot2</t>
  </si>
  <si>
    <t>UG3</t>
  </si>
  <si>
    <t>GR3</t>
  </si>
  <si>
    <t>Tot3</t>
  </si>
  <si>
    <t>UG4</t>
  </si>
  <si>
    <t>GR4</t>
  </si>
  <si>
    <t>Tot4</t>
  </si>
  <si>
    <t>UG5</t>
  </si>
  <si>
    <t>GR5</t>
  </si>
  <si>
    <t>Tot5</t>
  </si>
  <si>
    <t>UG6</t>
  </si>
  <si>
    <t>GR6</t>
  </si>
  <si>
    <t>Tot6</t>
  </si>
  <si>
    <t>UG7</t>
  </si>
  <si>
    <t>GR7</t>
  </si>
  <si>
    <t>Tot7</t>
  </si>
  <si>
    <t>UG8</t>
  </si>
  <si>
    <t>GR8</t>
  </si>
  <si>
    <t>Tot8</t>
  </si>
  <si>
    <t>UG9</t>
  </si>
  <si>
    <t>GR9</t>
  </si>
  <si>
    <t>Tot9</t>
  </si>
  <si>
    <t>UG10</t>
  </si>
  <si>
    <t>GR10</t>
  </si>
  <si>
    <t>Tot10</t>
  </si>
  <si>
    <t>Ethnicity Trend of All Enrolled Students</t>
  </si>
  <si>
    <t>Black or African American</t>
  </si>
  <si>
    <t>Hispanic</t>
  </si>
  <si>
    <t>Asian</t>
  </si>
  <si>
    <t>Native Hawaiian or Pacific Islander</t>
  </si>
  <si>
    <t>Native American</t>
  </si>
  <si>
    <t>White</t>
  </si>
  <si>
    <t>Two or More Races</t>
  </si>
  <si>
    <t>NRA</t>
  </si>
  <si>
    <t>Unknown</t>
  </si>
  <si>
    <t>Ethnicity Trend of Undergraduate Enrolled Students</t>
  </si>
  <si>
    <t>Ethnicity Trend of Graduate Enrolled Students</t>
  </si>
  <si>
    <t>UG Undergraduate Students</t>
  </si>
  <si>
    <t>03 Asian</t>
  </si>
  <si>
    <t>Total Minority Headcount Enrollment</t>
  </si>
  <si>
    <t>Number Minority Students</t>
  </si>
  <si>
    <t>Total Students</t>
  </si>
  <si>
    <t>Percent Minority</t>
  </si>
  <si>
    <t>Year1N</t>
  </si>
  <si>
    <t>Year1T</t>
  </si>
  <si>
    <t>Year1P</t>
  </si>
  <si>
    <t>Year2N</t>
  </si>
  <si>
    <t>Year2T</t>
  </si>
  <si>
    <t>Year2P</t>
  </si>
  <si>
    <t>Year3N</t>
  </si>
  <si>
    <t>Year3T</t>
  </si>
  <si>
    <t>Year3P</t>
  </si>
  <si>
    <t>Year4N</t>
  </si>
  <si>
    <t>Year4T</t>
  </si>
  <si>
    <t>Year4P</t>
  </si>
  <si>
    <t>Year5N</t>
  </si>
  <si>
    <t>Year5T</t>
  </si>
  <si>
    <t>Year5P</t>
  </si>
  <si>
    <t>Year6N</t>
  </si>
  <si>
    <t>Year6T</t>
  </si>
  <si>
    <t>Year6P</t>
  </si>
  <si>
    <t>Year7N</t>
  </si>
  <si>
    <t>Year7T</t>
  </si>
  <si>
    <t>Year7P</t>
  </si>
  <si>
    <t>Year8N</t>
  </si>
  <si>
    <t>Year8T</t>
  </si>
  <si>
    <t>Yea82P</t>
  </si>
  <si>
    <t>Year9N</t>
  </si>
  <si>
    <t>Year9T</t>
  </si>
  <si>
    <t>Year9P</t>
  </si>
  <si>
    <t>Year10N</t>
  </si>
  <si>
    <t>Year10T</t>
  </si>
  <si>
    <t>Year10P</t>
  </si>
  <si>
    <t>Undergraduate Minority Headcount Enrollment</t>
  </si>
  <si>
    <t>Graduate Minority Headcount Enrollment</t>
  </si>
  <si>
    <t>Note: Minority includes all but White, NRA and Unknown; Total Students excludes NRA and Unknown</t>
  </si>
  <si>
    <t>Total NRA Headcount Enrollment</t>
  </si>
  <si>
    <t>Number NRA Students</t>
  </si>
  <si>
    <t>Percent NRA</t>
  </si>
  <si>
    <t>Undergraduate NRA Headcount Enrollment</t>
  </si>
  <si>
    <t>Graduate NRA Headcount Enrollment</t>
  </si>
  <si>
    <t>Undergraduate Study Abroad Headcount Enrollment</t>
  </si>
  <si>
    <t xml:space="preserve">Number Study Abroad </t>
  </si>
  <si>
    <t>Percent Study Abroad</t>
  </si>
  <si>
    <t>Residency of Total Students</t>
  </si>
  <si>
    <t>PA</t>
  </si>
  <si>
    <t>NR</t>
  </si>
  <si>
    <t>Percent
 PA</t>
  </si>
  <si>
    <t>Residency of Undergraduate Students</t>
  </si>
  <si>
    <t>Residency of Graduate Students</t>
  </si>
  <si>
    <t>Total Full-Time and Part-Time Enrollment</t>
  </si>
  <si>
    <t>Full Time</t>
  </si>
  <si>
    <t>Part Time</t>
  </si>
  <si>
    <t>Undergraduate Full-Time and Part-Time Enrollment</t>
  </si>
  <si>
    <t>Graduate Full-Time and Part-Time Enrollment</t>
  </si>
  <si>
    <t>Total Degree / Non Degree Enrollment</t>
  </si>
  <si>
    <t>Degree</t>
  </si>
  <si>
    <t>Non Degree</t>
  </si>
  <si>
    <t>Year1D</t>
  </si>
  <si>
    <t>Year2D</t>
  </si>
  <si>
    <t>Year3D</t>
  </si>
  <si>
    <t>Year4D</t>
  </si>
  <si>
    <t>Year5D</t>
  </si>
  <si>
    <t>Year6D</t>
  </si>
  <si>
    <t>Year7D</t>
  </si>
  <si>
    <t>Year8D</t>
  </si>
  <si>
    <t>Year8P</t>
  </si>
  <si>
    <t>Year9D</t>
  </si>
  <si>
    <t>Year10D</t>
  </si>
  <si>
    <t>Undergraduate Degree / Non Degree Enrollment</t>
  </si>
  <si>
    <t>Graduate Degree / Non Degree Enrollment</t>
  </si>
  <si>
    <t>Total Enrollment by Gender</t>
  </si>
  <si>
    <t>Total
Male</t>
  </si>
  <si>
    <t>Total Female</t>
  </si>
  <si>
    <t>Percent
Female</t>
  </si>
  <si>
    <t>Undergraduate Enrollment by Gender</t>
  </si>
  <si>
    <t>Graduate Enrollment by Gender</t>
  </si>
  <si>
    <t>Total Non-Traditional Enrollment</t>
  </si>
  <si>
    <t>Non-Traditional</t>
  </si>
  <si>
    <t>Traditional</t>
  </si>
  <si>
    <t>Number</t>
  </si>
  <si>
    <t>Percent</t>
  </si>
  <si>
    <t>Year1A</t>
  </si>
  <si>
    <t>Year1B</t>
  </si>
  <si>
    <t>Year1C</t>
  </si>
  <si>
    <t>Year2A</t>
  </si>
  <si>
    <t>Year2B</t>
  </si>
  <si>
    <t>Year2C</t>
  </si>
  <si>
    <t>Year3A</t>
  </si>
  <si>
    <t>Year3B</t>
  </si>
  <si>
    <t>Year3C</t>
  </si>
  <si>
    <t>Year4A</t>
  </si>
  <si>
    <t>Year4B</t>
  </si>
  <si>
    <t>Year4C</t>
  </si>
  <si>
    <t>Year5A</t>
  </si>
  <si>
    <t>Year5B</t>
  </si>
  <si>
    <t>Year5C</t>
  </si>
  <si>
    <t>Year6A</t>
  </si>
  <si>
    <t>Year6B</t>
  </si>
  <si>
    <t>Year6C</t>
  </si>
  <si>
    <t>Year7A</t>
  </si>
  <si>
    <t>Year7B</t>
  </si>
  <si>
    <t>Year7C</t>
  </si>
  <si>
    <t>Year8A</t>
  </si>
  <si>
    <t>Year8B</t>
  </si>
  <si>
    <t>Year8C</t>
  </si>
  <si>
    <t>Year9A</t>
  </si>
  <si>
    <t>Year9B</t>
  </si>
  <si>
    <t>Year9C</t>
  </si>
  <si>
    <t>Year10A</t>
  </si>
  <si>
    <t>Year10B</t>
  </si>
  <si>
    <t>Year10C</t>
  </si>
  <si>
    <t>Undergraduate Non-Traditional Enrollment</t>
  </si>
  <si>
    <t>Graduate Non-Traditional Enrollment</t>
  </si>
  <si>
    <t>Undergraduate</t>
  </si>
  <si>
    <t>Graduate</t>
  </si>
  <si>
    <t xml:space="preserve"> System Total</t>
  </si>
  <si>
    <t>Non-tradtional</t>
  </si>
  <si>
    <t>Note: Age unknown included in traditional. Non-Traditional students are those aged 25 or above</t>
  </si>
  <si>
    <t>First Time, Full Time, Baccalaureate Degree Seeking Freshman Non-Traditional Enrollment</t>
  </si>
  <si>
    <t>Enrollment by Program Level</t>
  </si>
  <si>
    <t>1 All Students</t>
  </si>
  <si>
    <t>&lt;= 25</t>
  </si>
  <si>
    <t>26 - 35</t>
  </si>
  <si>
    <t>36 - 45</t>
  </si>
  <si>
    <t>46 - 55</t>
  </si>
  <si>
    <t xml:space="preserve">&gt; 55 </t>
  </si>
  <si>
    <t>Year1A1</t>
  </si>
  <si>
    <t>Year1A2</t>
  </si>
  <si>
    <t>Year1A3</t>
  </si>
  <si>
    <t>Year1A4</t>
  </si>
  <si>
    <t>Year1A5</t>
  </si>
  <si>
    <t>Year2A1</t>
  </si>
  <si>
    <t>Year2A2</t>
  </si>
  <si>
    <t>Year2A3</t>
  </si>
  <si>
    <t>Year2A4</t>
  </si>
  <si>
    <t>Year2A5</t>
  </si>
  <si>
    <t>Year3A1</t>
  </si>
  <si>
    <t>Year3A2</t>
  </si>
  <si>
    <t>Year3A3</t>
  </si>
  <si>
    <t>Year3A4</t>
  </si>
  <si>
    <t>Year3A5</t>
  </si>
  <si>
    <t>Year4A1</t>
  </si>
  <si>
    <t>Year4A2</t>
  </si>
  <si>
    <t>Year4A3</t>
  </si>
  <si>
    <t>Year4A4</t>
  </si>
  <si>
    <t>Year4A5</t>
  </si>
  <si>
    <t>Year5A1</t>
  </si>
  <si>
    <t>Year5A2</t>
  </si>
  <si>
    <t>Year5A3</t>
  </si>
  <si>
    <t>Year5A4</t>
  </si>
  <si>
    <t>Year5A5</t>
  </si>
  <si>
    <t>A Non Degree UG</t>
  </si>
  <si>
    <t>B Non Degree GR</t>
  </si>
  <si>
    <t>C UG Certificate Program</t>
  </si>
  <si>
    <t>D Post Bachelor's Certificate Program</t>
  </si>
  <si>
    <t>E Post Master's Certificate Program</t>
  </si>
  <si>
    <t>F Unclassified Graduate</t>
  </si>
  <si>
    <t>G Associate's Degree</t>
  </si>
  <si>
    <t>H Bachelor's Degree</t>
  </si>
  <si>
    <t>I Master's Degree</t>
  </si>
  <si>
    <t>J Doctoral Degree</t>
  </si>
  <si>
    <t>K First Professional Program</t>
  </si>
  <si>
    <t>L Letter of Completion UG</t>
  </si>
  <si>
    <t>M Letter of Completion Post Bachelor's</t>
  </si>
  <si>
    <t>N Letter of Completion Post Master's</t>
  </si>
  <si>
    <t>O Post Bachelor, non degree UG</t>
  </si>
  <si>
    <t>P Post Bachelor, non degree GR</t>
  </si>
  <si>
    <t>U Undergrad</t>
  </si>
  <si>
    <t>Z Grad</t>
  </si>
  <si>
    <t>Enrollment by Program Level  - Associate's Degree Program</t>
  </si>
  <si>
    <t>Number Enrolled in Associate's Degree</t>
  </si>
  <si>
    <t>Percent Associate's Degrees</t>
  </si>
  <si>
    <t>Enrollment by Program Level  - Bachelor's Degree Program</t>
  </si>
  <si>
    <t>Number Enrolled in Bachelor's Degree</t>
  </si>
  <si>
    <t>Percent Bachelor's Degrees</t>
  </si>
  <si>
    <t>Enrollment by Program Level  - Master's Degree Program</t>
  </si>
  <si>
    <t>Number Enrolled in Master's Degree</t>
  </si>
  <si>
    <t>Percent Master's Degrees</t>
  </si>
  <si>
    <t>Enrollment by Program Level  - Doctoral Degree Program</t>
  </si>
  <si>
    <t>Number Enrolled in Doctoral Degree</t>
  </si>
  <si>
    <t>Percent Doctoral Degrees</t>
  </si>
  <si>
    <t>Enrollment by Program Level  - First Professional's Degree Program</t>
  </si>
  <si>
    <t>Number Enrolled in First Prof Degree</t>
  </si>
  <si>
    <t>Percent First Prof Degrees</t>
  </si>
  <si>
    <t>Enrollment by Program Level  - Certificates</t>
  </si>
  <si>
    <t>Number Enrolled in Certificates</t>
  </si>
  <si>
    <t>Percent Certificates</t>
  </si>
  <si>
    <t>Column2</t>
  </si>
  <si>
    <t>Total Student Living Arrangements</t>
  </si>
  <si>
    <t>On Campus</t>
  </si>
  <si>
    <t>Off Campus</t>
  </si>
  <si>
    <t>Percent
On Campus</t>
  </si>
  <si>
    <t>Undergraduate Student Living Arrangements</t>
  </si>
  <si>
    <t>Graduate Student Living Arrrangements</t>
  </si>
  <si>
    <t>First Time, Full Time, Baccalaureate Degree Seeking Freshman  Living Arrrangements</t>
  </si>
  <si>
    <t>ALL Universities</t>
  </si>
  <si>
    <t>County</t>
  </si>
  <si>
    <t>CountyName</t>
  </si>
  <si>
    <t>Adams</t>
  </si>
  <si>
    <t>Allegheny</t>
  </si>
  <si>
    <t>Armstrong</t>
  </si>
  <si>
    <t>Beaver</t>
  </si>
  <si>
    <t>Bedford</t>
  </si>
  <si>
    <t>Berks</t>
  </si>
  <si>
    <t>Blair</t>
  </si>
  <si>
    <t>Bradford</t>
  </si>
  <si>
    <t>Bucks</t>
  </si>
  <si>
    <t>Butler</t>
  </si>
  <si>
    <t>Cambria</t>
  </si>
  <si>
    <t>Cameron</t>
  </si>
  <si>
    <t>Carbon</t>
  </si>
  <si>
    <t>Centre</t>
  </si>
  <si>
    <t>Chester</t>
  </si>
  <si>
    <t>Clearfield</t>
  </si>
  <si>
    <t>Clinton</t>
  </si>
  <si>
    <t>Columbia</t>
  </si>
  <si>
    <t>Crawford</t>
  </si>
  <si>
    <t>Cumberland</t>
  </si>
  <si>
    <t>Dauphin</t>
  </si>
  <si>
    <t>Delaware</t>
  </si>
  <si>
    <t>Elk</t>
  </si>
  <si>
    <t>Erie</t>
  </si>
  <si>
    <t>Fayette</t>
  </si>
  <si>
    <t>Forest</t>
  </si>
  <si>
    <t>Franklin</t>
  </si>
  <si>
    <t>Fulton</t>
  </si>
  <si>
    <t>Greene</t>
  </si>
  <si>
    <t>Huntingdon</t>
  </si>
  <si>
    <t>Jefferson</t>
  </si>
  <si>
    <t>Juniata</t>
  </si>
  <si>
    <t>Lackawanna</t>
  </si>
  <si>
    <t>Lancaster</t>
  </si>
  <si>
    <t>Lawrence</t>
  </si>
  <si>
    <t>Lebanon</t>
  </si>
  <si>
    <t>Lehigh</t>
  </si>
  <si>
    <t>Luzerne</t>
  </si>
  <si>
    <t>Lycoming</t>
  </si>
  <si>
    <t>McKean</t>
  </si>
  <si>
    <t>Mercer</t>
  </si>
  <si>
    <t>Mifflin</t>
  </si>
  <si>
    <t>Monroe</t>
  </si>
  <si>
    <t>Montgomery</t>
  </si>
  <si>
    <t>Montour</t>
  </si>
  <si>
    <t>Northampton</t>
  </si>
  <si>
    <t>Northumberland</t>
  </si>
  <si>
    <t>Perry</t>
  </si>
  <si>
    <t>Philadelphia</t>
  </si>
  <si>
    <t>Pike</t>
  </si>
  <si>
    <t>Potter</t>
  </si>
  <si>
    <t>Schuylkill</t>
  </si>
  <si>
    <t>Snyder</t>
  </si>
  <si>
    <t>Somerset</t>
  </si>
  <si>
    <t>Sullivan</t>
  </si>
  <si>
    <t>Susquehanna</t>
  </si>
  <si>
    <t>Tioga</t>
  </si>
  <si>
    <t>Union</t>
  </si>
  <si>
    <t>Venango</t>
  </si>
  <si>
    <t>Warren</t>
  </si>
  <si>
    <t>Washington</t>
  </si>
  <si>
    <t>Wayne</t>
  </si>
  <si>
    <t>Westmoreland</t>
  </si>
  <si>
    <t>Wyoming</t>
  </si>
  <si>
    <t>York</t>
  </si>
  <si>
    <t>Total Pennsylvania</t>
  </si>
  <si>
    <t>Non-Pennsylvania</t>
  </si>
  <si>
    <t>Grand Total</t>
  </si>
  <si>
    <t>State</t>
  </si>
  <si>
    <t>StateName</t>
  </si>
  <si>
    <t>Alabama</t>
  </si>
  <si>
    <t>Alaska</t>
  </si>
  <si>
    <t>Arizona</t>
  </si>
  <si>
    <t>Arkansas</t>
  </si>
  <si>
    <t>Colorado</t>
  </si>
  <si>
    <t>Connecticut</t>
  </si>
  <si>
    <t>District of Columbia</t>
  </si>
  <si>
    <t>Florida</t>
  </si>
  <si>
    <t>Georgia</t>
  </si>
  <si>
    <t>Hawaii</t>
  </si>
  <si>
    <t>Idaho</t>
  </si>
  <si>
    <t>Illinois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</si>
  <si>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</si>
  <si>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</si>
  <si>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</si>
  <si>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</si>
  <si>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</si>
  <si>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</si>
  <si>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</si>
  <si>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</si>
  <si>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</si>
  <si>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</si>
  <si>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</si>
  <si>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</si>
  <si>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</si>
  <si>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</si>
  <si>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</si>
  <si>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</si>
  <si>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</si>
  <si>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</si>
  <si>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</si>
  <si>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</si>
  <si>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</si>
  <si>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</si>
  <si>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</si>
  <si>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</si>
  <si>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</si>
  <si>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</si>
  <si>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</si>
  <si>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</si>
  <si>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</si>
  <si>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</si>
  <si>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</si>
  <si>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</si>
  <si>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West Virginia</t>
  </si>
  <si>
    <t>Wisconsin</t>
  </si>
  <si>
    <t>Other*</t>
  </si>
  <si>
    <t>Disciplinary Field (CIP) *</t>
  </si>
  <si>
    <t>Agriculture</t>
  </si>
  <si>
    <t>Architecture</t>
  </si>
  <si>
    <t>Area Studies</t>
  </si>
  <si>
    <t>Biological Sciences</t>
  </si>
  <si>
    <t>Business Management</t>
  </si>
  <si>
    <t>Communication Tech</t>
  </si>
  <si>
    <t>Communications</t>
  </si>
  <si>
    <t>Computer/Information Science</t>
  </si>
  <si>
    <t>Education**</t>
  </si>
  <si>
    <t>Engineering</t>
  </si>
  <si>
    <t>Engineering Tech</t>
  </si>
  <si>
    <t>English/Letters</t>
  </si>
  <si>
    <t>Environmental Science</t>
  </si>
  <si>
    <t>Family and Consumer Sci</t>
  </si>
  <si>
    <t>Foreign Languages</t>
  </si>
  <si>
    <t>Health Professions</t>
  </si>
  <si>
    <t>History</t>
  </si>
  <si>
    <t>HS Diplomas and Certificates</t>
  </si>
  <si>
    <t>Legal Studies</t>
  </si>
  <si>
    <t>Leisure and Rec</t>
  </si>
  <si>
    <t>Liberal Arts/Studies</t>
  </si>
  <si>
    <t>Library Science</t>
  </si>
  <si>
    <t>Mathematics</t>
  </si>
  <si>
    <t>Multi-Interdisciplinary Studies</t>
  </si>
  <si>
    <t>Non-degree</t>
  </si>
  <si>
    <t>Parks/Recreation</t>
  </si>
  <si>
    <t>Personal and Culinary</t>
  </si>
  <si>
    <t>Philosophy/Religion</t>
  </si>
  <si>
    <t>Physical Sciences</t>
  </si>
  <si>
    <t>Protective Services</t>
  </si>
  <si>
    <t>Psychology</t>
  </si>
  <si>
    <t>Public Admin</t>
  </si>
  <si>
    <t>Religion/Philosophy</t>
  </si>
  <si>
    <t>Remedial Education</t>
  </si>
  <si>
    <t>Science Technologies</t>
  </si>
  <si>
    <t>Social Sciences****</t>
  </si>
  <si>
    <t>Undeclared***</t>
  </si>
  <si>
    <t>Visual/Performing Arts</t>
  </si>
  <si>
    <t>STEM*****</t>
  </si>
  <si>
    <t>Year Semester</t>
  </si>
  <si>
    <t>Extract Type</t>
  </si>
  <si>
    <t>F</t>
  </si>
  <si>
    <t>Official Active</t>
  </si>
  <si>
    <t>O</t>
  </si>
  <si>
    <t>Clock Hour</t>
  </si>
  <si>
    <t>Y</t>
  </si>
  <si>
    <t>Culinary Clock Hour Only</t>
  </si>
  <si>
    <t>N</t>
  </si>
  <si>
    <t xml:space="preserve">PA Residents Only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</si>
</sst>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_);_(* \(#,##0\);_(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rgb="FF153D6D"/>
        <bgColor indexed="64"/>
      </patternFill>
    </fill>
    <fill>
      <patternFill patternType="solid">
        <fgColor rgb="FFCEAE5E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  <bgColor theme="4"/>
      </patternFill>
    </fill>
  </fills>
  <borders count="4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theme="3" tint="0.59996337778862885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rgb="FFAFC6DF"/>
      </bottom>
      <diagonal/>
    </border>
    <border>
      <left style="thin">
        <color indexed="64"/>
      </left>
      <right style="thin">
        <color auto="1"/>
      </right>
      <top style="thin">
        <color rgb="FFAFC6DF"/>
      </top>
      <bottom style="thin">
        <color rgb="FFAFC6DF"/>
      </bottom>
      <diagonal/>
    </border>
    <border>
      <left style="thin">
        <color indexed="64"/>
      </left>
      <right style="thin">
        <color auto="1"/>
      </right>
      <top style="thin">
        <color rgb="FFAFC6DF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rgb="FFAFC6DF"/>
      </top>
      <bottom/>
      <diagonal/>
    </border>
    <border>
      <left style="thin">
        <color indexed="64"/>
      </left>
      <right style="thin">
        <color auto="1"/>
      </right>
      <top/>
      <bottom style="thin">
        <color rgb="FFAFC6DF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rgb="FFAFC6DF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 style="thin">
        <color rgb="FFAFC6DF"/>
      </bottom>
      <diagonal/>
    </border>
    <border>
      <left style="thin">
        <color indexed="64"/>
      </left>
      <right/>
      <top/>
      <bottom style="thin">
        <color rgb="FFAFC6DF"/>
      </bottom>
      <diagonal/>
    </border>
    <border>
      <left style="thin">
        <color auto="1"/>
      </left>
      <right style="thin">
        <color auto="1"/>
      </right>
      <top style="thin">
        <color theme="3" tint="0.59996337778862885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auto="1"/>
      </right>
      <top style="thin">
        <color theme="3" tint="0.59996337778862885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theme="3" tint="0.59996337778862885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 style="thin">
        <color rgb="FFAFC6DF"/>
      </top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6">
    <xf numFmtId="0" fontId="0" fillId="0" borderId="0"/>
    <xf numFmtId="0" fontId="19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8" fillId="31" borderId="0" applyNumberFormat="0" applyBorder="0" applyAlignment="0" applyProtection="0"/>
    <xf numFmtId="0" fontId="20" fillId="35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3" fillId="0" borderId="0"/>
    <xf numFmtId="0" fontId="24" fillId="0" borderId="0"/>
  </cellStyleXfs>
  <cellXfs count="139">
    <xf numFmtId="0" fontId="0" fillId="0" borderId="0" xfId="0"/>
    <xf numFmtId="3" fontId="22" fillId="0" borderId="0" xfId="0" applyNumberFormat="1" applyFont="1" applyAlignment="1">
      <alignment horizontal="center" vertical="center"/>
    </xf>
    <xf numFmtId="164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0" xfId="0" applyFont="1"/>
    <xf numFmtId="0" fontId="2" fillId="0" borderId="0" xfId="0" applyFont="1"/>
    <xf numFmtId="0" fontId="23" fillId="0" borderId="0" xfId="0" applyFont="1" applyAlignment="1">
      <alignment horizontal="left"/>
    </xf>
    <xf numFmtId="0" fontId="23" fillId="0" borderId="0" xfId="0" applyFont="1" applyAlignment="1">
      <alignment horizontal="left" vertical="center"/>
    </xf>
    <xf numFmtId="0" fontId="23" fillId="0" borderId="0" xfId="0" applyFont="1" applyFill="1" applyAlignment="1">
      <alignment horizontal="left" vertical="center"/>
    </xf>
    <xf numFmtId="0" fontId="23" fillId="0" borderId="0" xfId="0" applyFont="1" applyAlignment="1">
      <alignment vertical="center"/>
    </xf>
    <xf numFmtId="0" fontId="26" fillId="0" borderId="0" xfId="0" applyFont="1"/>
    <xf numFmtId="0" fontId="23" fillId="0" borderId="0" xfId="0" applyFont="1" applyBorder="1" applyAlignment="1">
      <alignment vertical="top"/>
    </xf>
    <xf numFmtId="0" fontId="23" fillId="0" borderId="0" xfId="44" applyFont="1" applyBorder="1" applyAlignment="1"/>
    <xf numFmtId="0" fontId="24" fillId="0" borderId="0" xfId="45" applyFont="1" applyFill="1" applyBorder="1" applyAlignment="1"/>
    <xf numFmtId="0" fontId="2" fillId="0" borderId="0" xfId="0" applyFont="1" applyAlignment="1">
      <alignment vertical="center"/>
    </xf>
    <xf numFmtId="0" fontId="22" fillId="0" borderId="0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left" vertical="center"/>
    </xf>
    <xf numFmtId="0" fontId="25" fillId="0" borderId="0" xfId="0" applyNumberFormat="1" applyFont="1" applyAlignment="1"/>
    <xf numFmtId="0" fontId="25" fillId="0" borderId="0" xfId="0" applyFont="1" applyBorder="1" applyAlignment="1"/>
    <xf numFmtId="0" fontId="20" fillId="35" borderId="10" xfId="41" applyFont="1" applyBorder="1" applyAlignment="1">
      <alignment horizontal="center" vertical="center" wrapText="1"/>
    </xf>
    <xf numFmtId="0" fontId="1" fillId="36" borderId="9" xfId="0" applyFont="1" applyFill="1" applyBorder="1"/>
    <xf numFmtId="3" fontId="1" fillId="36" borderId="9" xfId="0" applyNumberFormat="1" applyFont="1" applyFill="1" applyBorder="1"/>
    <xf numFmtId="10" fontId="1" fillId="36" borderId="9" xfId="0" applyNumberFormat="1" applyFont="1" applyFill="1" applyBorder="1"/>
    <xf numFmtId="0" fontId="1" fillId="36" borderId="9" xfId="0" applyNumberFormat="1" applyFont="1" applyFill="1" applyBorder="1"/>
    <xf numFmtId="0" fontId="1" fillId="36" borderId="12" xfId="0" applyFont="1" applyFill="1" applyBorder="1"/>
    <xf numFmtId="3" fontId="1" fillId="36" borderId="12" xfId="0" applyNumberFormat="1" applyFont="1" applyFill="1" applyBorder="1"/>
    <xf numFmtId="0" fontId="1" fillId="0" borderId="9" xfId="0" applyFont="1" applyBorder="1"/>
    <xf numFmtId="0" fontId="1" fillId="32" borderId="32" xfId="43" applyFont="1" applyFill="1" applyBorder="1"/>
    <xf numFmtId="3" fontId="1" fillId="32" borderId="32" xfId="43" applyNumberFormat="1" applyFont="1" applyFill="1" applyBorder="1"/>
    <xf numFmtId="3" fontId="1" fillId="32" borderId="25" xfId="0" applyNumberFormat="1" applyFont="1" applyFill="1" applyBorder="1"/>
    <xf numFmtId="3" fontId="29" fillId="36" borderId="9" xfId="0" applyNumberFormat="1" applyFont="1" applyFill="1" applyBorder="1"/>
    <xf numFmtId="0" fontId="28" fillId="39" borderId="38" xfId="0" applyFont="1" applyFill="1" applyBorder="1"/>
    <xf numFmtId="0" fontId="1" fillId="32" borderId="39" xfId="0" applyFont="1" applyFill="1" applyBorder="1"/>
    <xf numFmtId="3" fontId="1" fillId="32" borderId="39" xfId="0" applyNumberFormat="1" applyFont="1" applyFill="1" applyBorder="1"/>
    <xf numFmtId="3" fontId="1" fillId="32" borderId="10" xfId="0" applyNumberFormat="1" applyFont="1" applyFill="1" applyBorder="1"/>
    <xf numFmtId="0" fontId="1" fillId="32" borderId="40" xfId="0" applyFont="1" applyFill="1" applyBorder="1"/>
    <xf numFmtId="3" fontId="1" fillId="32" borderId="40" xfId="0" applyNumberFormat="1" applyFont="1" applyFill="1" applyBorder="1"/>
    <xf numFmtId="0" fontId="29" fillId="36" borderId="13" xfId="0" applyFont="1" applyFill="1" applyBorder="1"/>
    <xf numFmtId="3" fontId="29" fillId="36" borderId="13" xfId="0" applyNumberFormat="1" applyFont="1" applyFill="1" applyBorder="1"/>
    <xf numFmtId="0" fontId="1" fillId="32" borderId="39" xfId="0" applyNumberFormat="1" applyFont="1" applyFill="1" applyBorder="1"/>
    <xf numFmtId="10" fontId="1" fillId="32" borderId="39" xfId="0" applyNumberFormat="1" applyFont="1" applyFill="1" applyBorder="1"/>
    <xf numFmtId="10" fontId="1" fillId="32" borderId="10" xfId="0" applyNumberFormat="1" applyFont="1" applyFill="1" applyBorder="1"/>
    <xf numFmtId="0" fontId="1" fillId="32" borderId="40" xfId="0" applyNumberFormat="1" applyFont="1" applyFill="1" applyBorder="1"/>
    <xf numFmtId="10" fontId="1" fillId="32" borderId="40" xfId="0" applyNumberFormat="1" applyFont="1" applyFill="1" applyBorder="1"/>
    <xf numFmtId="10" fontId="1" fillId="32" borderId="25" xfId="0" applyNumberFormat="1" applyFont="1" applyFill="1" applyBorder="1"/>
    <xf numFmtId="10" fontId="29" fillId="36" borderId="13" xfId="0" applyNumberFormat="1" applyFont="1" applyFill="1" applyBorder="1"/>
    <xf numFmtId="10" fontId="29" fillId="36" borderId="9" xfId="0" applyNumberFormat="1" applyFont="1" applyFill="1" applyBorder="1"/>
    <xf numFmtId="0" fontId="28" fillId="39" borderId="18" xfId="0" applyFont="1" applyFill="1" applyBorder="1"/>
    <xf numFmtId="0" fontId="1" fillId="33" borderId="41" xfId="0" applyFont="1" applyFill="1" applyBorder="1"/>
    <xf numFmtId="0" fontId="1" fillId="0" borderId="41" xfId="0" applyFont="1" applyBorder="1"/>
    <xf numFmtId="0" fontId="1" fillId="0" borderId="15" xfId="0" applyFont="1" applyBorder="1"/>
    <xf numFmtId="0" fontId="25" fillId="0" borderId="0" xfId="0" applyFont="1" applyBorder="1" applyAlignment="1">
      <alignment horizontal="center"/>
    </xf>
    <xf numFmtId="0" fontId="20" fillId="35" borderId="9" xfId="41" applyFont="1" applyBorder="1" applyAlignment="1">
      <alignment horizontal="center" vertical="center"/>
    </xf>
    <xf numFmtId="0" fontId="20" fillId="35" borderId="10" xfId="41" applyFont="1" applyBorder="1" applyAlignment="1">
      <alignment horizontal="center" vertical="center"/>
    </xf>
    <xf numFmtId="0" fontId="20" fillId="35" borderId="9" xfId="41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/>
    </xf>
    <xf numFmtId="0" fontId="1" fillId="32" borderId="22" xfId="0" applyFont="1" applyFill="1" applyBorder="1"/>
    <xf numFmtId="3" fontId="1" fillId="32" borderId="22" xfId="0" applyNumberFormat="1" applyFont="1" applyFill="1" applyBorder="1"/>
    <xf numFmtId="0" fontId="1" fillId="32" borderId="23" xfId="0" applyFont="1" applyFill="1" applyBorder="1"/>
    <xf numFmtId="3" fontId="1" fillId="32" borderId="23" xfId="0" applyNumberFormat="1" applyFont="1" applyFill="1" applyBorder="1"/>
    <xf numFmtId="0" fontId="1" fillId="0" borderId="0" xfId="0" applyFont="1"/>
    <xf numFmtId="0" fontId="1" fillId="32" borderId="24" xfId="0" applyFont="1" applyFill="1" applyBorder="1"/>
    <xf numFmtId="3" fontId="1" fillId="32" borderId="24" xfId="0" applyNumberFormat="1" applyFont="1" applyFill="1" applyBorder="1"/>
    <xf numFmtId="0" fontId="1" fillId="0" borderId="37" xfId="0" applyFont="1" applyBorder="1"/>
    <xf numFmtId="0" fontId="1" fillId="0" borderId="0" xfId="0" applyFont="1" applyBorder="1"/>
    <xf numFmtId="0" fontId="1" fillId="0" borderId="0" xfId="0" applyNumberFormat="1" applyFont="1" applyAlignment="1">
      <alignment horizontal="center"/>
    </xf>
    <xf numFmtId="0" fontId="1" fillId="0" borderId="10" xfId="0" applyFont="1" applyBorder="1"/>
    <xf numFmtId="0" fontId="1" fillId="32" borderId="22" xfId="0" applyNumberFormat="1" applyFont="1" applyFill="1" applyBorder="1"/>
    <xf numFmtId="10" fontId="1" fillId="32" borderId="22" xfId="0" applyNumberFormat="1" applyFont="1" applyFill="1" applyBorder="1"/>
    <xf numFmtId="0" fontId="1" fillId="32" borderId="23" xfId="0" applyNumberFormat="1" applyFont="1" applyFill="1" applyBorder="1"/>
    <xf numFmtId="10" fontId="1" fillId="32" borderId="23" xfId="0" applyNumberFormat="1" applyFont="1" applyFill="1" applyBorder="1"/>
    <xf numFmtId="0" fontId="1" fillId="32" borderId="24" xfId="0" applyNumberFormat="1" applyFont="1" applyFill="1" applyBorder="1"/>
    <xf numFmtId="10" fontId="1" fillId="32" borderId="24" xfId="0" applyNumberFormat="1" applyFont="1" applyFill="1" applyBorder="1"/>
    <xf numFmtId="0" fontId="1" fillId="34" borderId="26" xfId="0" applyFont="1" applyFill="1" applyBorder="1"/>
    <xf numFmtId="0" fontId="1" fillId="32" borderId="25" xfId="0" applyNumberFormat="1" applyFont="1" applyFill="1" applyBorder="1"/>
    <xf numFmtId="0" fontId="1" fillId="0" borderId="18" xfId="0" applyFont="1" applyBorder="1"/>
    <xf numFmtId="0" fontId="1" fillId="32" borderId="9" xfId="0" applyNumberFormat="1" applyFont="1" applyFill="1" applyBorder="1"/>
    <xf numFmtId="3" fontId="1" fillId="32" borderId="9" xfId="0" applyNumberFormat="1" applyFont="1" applyFill="1" applyBorder="1"/>
    <xf numFmtId="0" fontId="1" fillId="0" borderId="0" xfId="0" applyFont="1" applyAlignment="1">
      <alignment horizontal="center"/>
    </xf>
    <xf numFmtId="10" fontId="1" fillId="32" borderId="30" xfId="0" applyNumberFormat="1" applyFont="1" applyFill="1" applyBorder="1"/>
    <xf numFmtId="3" fontId="1" fillId="37" borderId="10" xfId="42" applyNumberFormat="1" applyFont="1" applyBorder="1"/>
    <xf numFmtId="10" fontId="1" fillId="36" borderId="10" xfId="43" applyNumberFormat="1" applyFont="1" applyBorder="1"/>
    <xf numFmtId="10" fontId="1" fillId="32" borderId="28" xfId="0" applyNumberFormat="1" applyFont="1" applyFill="1" applyBorder="1"/>
    <xf numFmtId="3" fontId="1" fillId="37" borderId="12" xfId="42" applyNumberFormat="1" applyFont="1" applyBorder="1"/>
    <xf numFmtId="10" fontId="1" fillId="36" borderId="12" xfId="43" applyNumberFormat="1" applyFont="1" applyBorder="1"/>
    <xf numFmtId="0" fontId="1" fillId="32" borderId="26" xfId="0" applyFont="1" applyFill="1" applyBorder="1"/>
    <xf numFmtId="3" fontId="1" fillId="32" borderId="26" xfId="0" applyNumberFormat="1" applyFont="1" applyFill="1" applyBorder="1"/>
    <xf numFmtId="10" fontId="1" fillId="32" borderId="26" xfId="0" applyNumberFormat="1" applyFont="1" applyFill="1" applyBorder="1"/>
    <xf numFmtId="10" fontId="1" fillId="32" borderId="31" xfId="0" applyNumberFormat="1" applyFont="1" applyFill="1" applyBorder="1"/>
    <xf numFmtId="3" fontId="1" fillId="37" borderId="27" xfId="42" applyNumberFormat="1" applyFont="1" applyBorder="1"/>
    <xf numFmtId="10" fontId="1" fillId="36" borderId="27" xfId="43" applyNumberFormat="1" applyFont="1" applyBorder="1"/>
    <xf numFmtId="0" fontId="1" fillId="0" borderId="0" xfId="0" applyFont="1" applyBorder="1" applyAlignment="1">
      <alignment horizontal="center"/>
    </xf>
    <xf numFmtId="3" fontId="1" fillId="32" borderId="22" xfId="0" applyNumberFormat="1" applyFont="1" applyFill="1" applyBorder="1" applyAlignment="1"/>
    <xf numFmtId="0" fontId="1" fillId="33" borderId="15" xfId="0" applyFont="1" applyFill="1" applyBorder="1"/>
    <xf numFmtId="3" fontId="1" fillId="32" borderId="23" xfId="0" applyNumberFormat="1" applyFont="1" applyFill="1" applyBorder="1" applyAlignment="1"/>
    <xf numFmtId="3" fontId="1" fillId="32" borderId="24" xfId="0" applyNumberFormat="1" applyFont="1" applyFill="1" applyBorder="1" applyAlignment="1"/>
    <xf numFmtId="0" fontId="1" fillId="33" borderId="16" xfId="0" applyFont="1" applyFill="1" applyBorder="1"/>
    <xf numFmtId="0" fontId="1" fillId="0" borderId="0" xfId="0" applyNumberFormat="1" applyFont="1" applyAlignment="1"/>
    <xf numFmtId="0" fontId="1" fillId="0" borderId="0" xfId="0" applyFont="1" applyBorder="1" applyAlignment="1"/>
    <xf numFmtId="0" fontId="1" fillId="0" borderId="0" xfId="0" applyFont="1" applyAlignment="1"/>
    <xf numFmtId="0" fontId="1" fillId="0" borderId="42" xfId="0" applyFont="1" applyBorder="1"/>
    <xf numFmtId="0" fontId="1" fillId="0" borderId="43" xfId="0" applyFont="1" applyBorder="1"/>
    <xf numFmtId="0" fontId="1" fillId="0" borderId="44" xfId="0" applyFont="1" applyBorder="1"/>
    <xf numFmtId="0" fontId="1" fillId="32" borderId="21" xfId="0" applyFont="1" applyFill="1" applyBorder="1"/>
    <xf numFmtId="3" fontId="1" fillId="32" borderId="21" xfId="0" applyNumberFormat="1" applyFont="1" applyFill="1" applyBorder="1"/>
    <xf numFmtId="0" fontId="1" fillId="32" borderId="20" xfId="0" applyFont="1" applyFill="1" applyBorder="1"/>
    <xf numFmtId="3" fontId="1" fillId="32" borderId="20" xfId="0" applyNumberFormat="1" applyFont="1" applyFill="1" applyBorder="1"/>
    <xf numFmtId="0" fontId="1" fillId="32" borderId="32" xfId="0" applyFont="1" applyFill="1" applyBorder="1"/>
    <xf numFmtId="3" fontId="1" fillId="32" borderId="32" xfId="0" applyNumberFormat="1" applyFont="1" applyFill="1" applyBorder="1"/>
    <xf numFmtId="0" fontId="1" fillId="0" borderId="12" xfId="0" applyFont="1" applyBorder="1"/>
    <xf numFmtId="3" fontId="1" fillId="32" borderId="19" xfId="0" applyNumberFormat="1" applyFont="1" applyFill="1" applyBorder="1"/>
    <xf numFmtId="0" fontId="1" fillId="0" borderId="45" xfId="0" applyFont="1" applyBorder="1"/>
    <xf numFmtId="0" fontId="1" fillId="0" borderId="36" xfId="0" applyFont="1" applyBorder="1"/>
    <xf numFmtId="0" fontId="1" fillId="0" borderId="46" xfId="0" applyFont="1" applyBorder="1"/>
    <xf numFmtId="0" fontId="1" fillId="32" borderId="9" xfId="0" applyFont="1" applyFill="1" applyBorder="1"/>
    <xf numFmtId="0" fontId="1" fillId="32" borderId="35" xfId="0" applyFont="1" applyFill="1" applyBorder="1"/>
    <xf numFmtId="3" fontId="1" fillId="32" borderId="35" xfId="0" applyNumberFormat="1" applyFont="1" applyFill="1" applyBorder="1"/>
    <xf numFmtId="0" fontId="1" fillId="32" borderId="34" xfId="0" applyFont="1" applyFill="1" applyBorder="1"/>
    <xf numFmtId="3" fontId="1" fillId="32" borderId="34" xfId="0" applyNumberFormat="1" applyFont="1" applyFill="1" applyBorder="1"/>
    <xf numFmtId="0" fontId="1" fillId="38" borderId="13" xfId="43" applyFont="1" applyFill="1" applyBorder="1"/>
    <xf numFmtId="3" fontId="1" fillId="38" borderId="14" xfId="43" applyNumberFormat="1" applyFont="1" applyFill="1" applyBorder="1"/>
    <xf numFmtId="3" fontId="1" fillId="38" borderId="11" xfId="43" applyNumberFormat="1" applyFont="1" applyFill="1" applyBorder="1"/>
    <xf numFmtId="0" fontId="1" fillId="0" borderId="29" xfId="0" applyFont="1" applyBorder="1"/>
    <xf numFmtId="0" fontId="1" fillId="0" borderId="33" xfId="0" applyFont="1" applyBorder="1"/>
    <xf numFmtId="0" fontId="1" fillId="32" borderId="20" xfId="43" applyFont="1" applyFill="1" applyBorder="1"/>
    <xf numFmtId="3" fontId="1" fillId="32" borderId="20" xfId="43" applyNumberFormat="1" applyFont="1" applyFill="1" applyBorder="1"/>
    <xf numFmtId="0" fontId="25" fillId="0" borderId="0" xfId="0" applyNumberFormat="1" applyFont="1" applyAlignment="1">
      <alignment horizontal="center"/>
    </xf>
    <xf numFmtId="0" fontId="25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5" fillId="0" borderId="0" xfId="0" applyFont="1" applyAlignment="1"/>
    <xf numFmtId="0" fontId="27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5" fillId="0" borderId="17" xfId="0" applyFont="1" applyBorder="1" applyAlignment="1">
      <alignment horizontal="center"/>
    </xf>
    <xf numFmtId="0" fontId="20" fillId="35" borderId="9" xfId="41" applyFont="1" applyBorder="1" applyAlignment="1">
      <alignment horizontal="center" vertical="center"/>
    </xf>
    <xf numFmtId="0" fontId="20" fillId="35" borderId="10" xfId="41" applyFont="1" applyBorder="1" applyAlignment="1">
      <alignment horizontal="center" vertical="center"/>
    </xf>
    <xf numFmtId="0" fontId="20" fillId="35" borderId="12" xfId="41" applyFont="1" applyBorder="1" applyAlignment="1">
      <alignment horizontal="center" vertical="center"/>
    </xf>
    <xf numFmtId="0" fontId="20" fillId="35" borderId="27" xfId="41" applyFont="1" applyBorder="1" applyAlignment="1">
      <alignment horizontal="center" vertical="center"/>
    </xf>
    <xf numFmtId="0" fontId="20" fillId="35" borderId="9" xfId="41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/>
    </xf>
  </cellXfs>
  <cellStyles count="46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4"/>
    <cellStyle name="Normal_Sheet1" xfId="45"/>
    <cellStyle name="Output" xfId="10" builtinId="21" customBuiltin="1"/>
    <cellStyle name="System Accent" xfId="42"/>
    <cellStyle name="System Header" xfId="41"/>
    <cellStyle name="System Total" xfId="43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AFC6DF"/>
      <color rgb="FFA6A6A6"/>
      <color rgb="FFCEAE5E"/>
      <color rgb="FF153D6D"/>
      <color rgb="FFFFFFB7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0</xdr:row>
      <xdr:rowOff>180975</xdr:rowOff>
    </xdr:from>
    <xdr:to>
      <xdr:col>9</xdr:col>
      <xdr:colOff>371475</xdr:colOff>
      <xdr:row>4</xdr:row>
      <xdr:rowOff>0</xdr:rowOff>
    </xdr:to>
    <xdr:sp macro="" textlink="">
      <xdr:nvSpPr>
        <xdr:cNvPr id="22529" name="Button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00000000-0008-0000-1700-0000015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Convert All Tables to Ranges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Will Unlink Them From SQL</a:t>
          </a:r>
        </a:p>
      </xdr:txBody>
    </xdr:sp>
    <xdr:clientData fPrintsWithSheet="0"/>
  </xdr:twoCellAnchor>
  <xdr:twoCellAnchor>
    <xdr:from>
      <xdr:col>2</xdr:col>
      <xdr:colOff>533400</xdr:colOff>
      <xdr:row>1</xdr:row>
      <xdr:rowOff>0</xdr:rowOff>
    </xdr:from>
    <xdr:to>
      <xdr:col>8</xdr:col>
      <xdr:colOff>285750</xdr:colOff>
      <xdr:row>4</xdr:row>
      <xdr:rowOff>38100</xdr:rowOff>
    </xdr:to>
    <xdr:sp macro="" textlink="">
      <xdr:nvSpPr>
        <xdr:cNvPr id="22530" name="Button 2" hidden="1">
          <a:extLst>
            <a:ext uri="{63B3BB69-23CF-44E3-9099-C40C66FF867C}">
              <a14:compatExt xmlns:a14="http://schemas.microsoft.com/office/drawing/2010/main" spid="_x0000_s22530"/>
            </a:ext>
            <a:ext uri="{FF2B5EF4-FFF2-40B4-BE49-F238E27FC236}">
              <a16:creationId xmlns:a16="http://schemas.microsoft.com/office/drawing/2014/main" id="{00000000-0008-0000-1700-0000025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Convert All Tables to Ranges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Will Unlink Them From SQL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M24"/>
  <sheetViews>
    <sheetView tabSelected="1" zoomScaleNormal="100" workbookViewId="0">
      <selection activeCell="B24" sqref="B24"/>
    </sheetView>
  </sheetViews>
  <sheetFormatPr defaultRowHeight="14.25" x14ac:dyDescent="0.2"/>
  <cols>
    <col min="1" max="1" width="9.140625" style="5"/>
    <col min="2" max="2" width="23.5703125" style="5" customWidth="1"/>
    <col min="3" max="12" width="15.7109375" style="5" customWidth="1"/>
    <col min="13" max="16384" width="9.140625" style="5"/>
  </cols>
  <sheetData>
    <row r="1" spans="2:12" ht="15" x14ac:dyDescent="0.2">
      <c r="B1" s="126" t="s">
        <v>0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spans="2:12" ht="15" x14ac:dyDescent="0.2">
      <c r="B2" s="127" t="str">
        <f>CONCATENATE("Head Count Enrollment ", IF(RIGHT(Parameters!B1,1) = "1","Fall ", "Spring "),IF(RIGHT(Parameters!B1,1)  = "1",LEFT(Parameters!B1,4) -9, LEFT(Parameters!B1,4)-8 ),"-",IF(RIGHT(Parameters!B1,1)  = "1",LEFT(Parameters!B1,4), LEFT(Parameters!B1,4)+1 ))</f>
        <v>Head Count Enrollment Fall 2010-2019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</row>
    <row r="3" spans="2:12" ht="30.95" customHeight="1" x14ac:dyDescent="0.2">
      <c r="B3" s="52" t="s">
        <v>1</v>
      </c>
      <c r="C3" s="52" t="str">
        <f>CONCATENATE(IF(RIGHT(Parameters!B1,1) = "1","Fall ", "Spring "),IF(RIGHT(Parameters!B1,1)  = "1",LEFT(Parameters!B1,4) -9, LEFT(Parameters!B1,4)-8 ))</f>
        <v>Fall 2010</v>
      </c>
      <c r="D3" s="52" t="str">
        <f>CONCATENATE(IF(RIGHT(Parameters!B1,1) = "1","Fall ", "Spring "),IF(RIGHT(Parameters!B1,1)  = "1",LEFT(Parameters!B1,4) -8, LEFT(Parameters!B1,4)-7 ))</f>
        <v>Fall 2011</v>
      </c>
      <c r="E3" s="52" t="str">
        <f>CONCATENATE(IF(RIGHT(Parameters!B1,1) = "1","Fall ", "Spring "),IF(RIGHT(Parameters!B1,1)  = "1",LEFT(Parameters!B1,4) -7, LEFT(Parameters!B1,4)-6 ))</f>
        <v>Fall 2012</v>
      </c>
      <c r="F3" s="52" t="str">
        <f>CONCATENATE(IF(RIGHT(Parameters!B1,1) = "1","Fall ", "Spring "),IF(RIGHT(Parameters!B1,1)  = "1",LEFT(Parameters!B1,4) -6, LEFT(Parameters!B1,4)-5 ))</f>
        <v>Fall 2013</v>
      </c>
      <c r="G3" s="52" t="str">
        <f>CONCATENATE(IF(RIGHT(Parameters!B1,1) = "1","Fall ", "Spring "),IF(RIGHT(Parameters!B1,1)  = "1",LEFT(Parameters!B1,4) -5, LEFT(Parameters!B1,4)-4 ))</f>
        <v>Fall 2014</v>
      </c>
      <c r="H3" s="52" t="str">
        <f>CONCATENATE(IF(RIGHT(Parameters!B1,1) = "1","Fall ", "Spring "),IF(RIGHT(Parameters!B1,1)  = "1",LEFT(Parameters!B1,4) -4, LEFT(Parameters!B1,4)-3 ))</f>
        <v>Fall 2015</v>
      </c>
      <c r="I3" s="52" t="str">
        <f>CONCATENATE(IF(RIGHT(Parameters!B1,1) = "1","Fall ", "Spring "),IF(RIGHT(Parameters!B1,1)  = "1",LEFT(Parameters!B1,4) -3, LEFT(Parameters!B1,4)-2 ))</f>
        <v>Fall 2016</v>
      </c>
      <c r="J3" s="52" t="str">
        <f>CONCATENATE(IF(RIGHT(Parameters!B1,1) = "1","Fall ", "Spring "),IF(RIGHT(Parameters!B1,1)  = "1",LEFT(Parameters!B1,4) -2, LEFT(Parameters!B1,4) -1))</f>
        <v>Fall 2017</v>
      </c>
      <c r="K3" s="52" t="str">
        <f>CONCATENATE(IF(RIGHT(Parameters!B1,1) = "1","Fall ", "Spring "),IF(RIGHT(Parameters!B1,1)  = "1",LEFT(Parameters!B1,4) -1, LEFT(Parameters!B1,4) ))</f>
        <v>Fall 2018</v>
      </c>
      <c r="L3" s="52" t="str">
        <f>CONCATENATE(IF(RIGHT(Parameters!B1,1) = "1","Fall ", "Spring "),IF(RIGHT(Parameters!B1,1) = "1",LEFT(Parameters!B1,4), LEFT(Parameters!B1,4) + 1))</f>
        <v>Fall 2019</v>
      </c>
    </row>
    <row r="4" spans="2:12" ht="15" hidden="1" customHeight="1" x14ac:dyDescent="0.2">
      <c r="B4" s="26" t="s">
        <v>2</v>
      </c>
      <c r="C4" s="26" t="s">
        <v>3</v>
      </c>
      <c r="D4" s="26" t="s">
        <v>4</v>
      </c>
      <c r="E4" s="26" t="s">
        <v>5</v>
      </c>
      <c r="F4" s="26" t="s">
        <v>6</v>
      </c>
      <c r="G4" s="26" t="s">
        <v>7</v>
      </c>
      <c r="H4" s="26" t="s">
        <v>8</v>
      </c>
      <c r="I4" s="26" t="s">
        <v>9</v>
      </c>
      <c r="J4" s="26" t="s">
        <v>10</v>
      </c>
      <c r="K4" s="26" t="s">
        <v>11</v>
      </c>
      <c r="L4" s="26" t="s">
        <v>12</v>
      </c>
    </row>
    <row r="5" spans="2:12" x14ac:dyDescent="0.2">
      <c r="B5" s="56" t="s">
        <v>13</v>
      </c>
      <c r="C5" s="57">
        <v>10091</v>
      </c>
      <c r="D5" s="57">
        <v>10159</v>
      </c>
      <c r="E5" s="57">
        <v>9950</v>
      </c>
      <c r="F5" s="57">
        <v>10127</v>
      </c>
      <c r="G5" s="57">
        <v>9998</v>
      </c>
      <c r="H5" s="57">
        <v>9777</v>
      </c>
      <c r="I5" s="57">
        <v>9658</v>
      </c>
      <c r="J5" s="57">
        <v>9287</v>
      </c>
      <c r="K5" s="57">
        <v>8924</v>
      </c>
      <c r="L5" s="57">
        <v>8689</v>
      </c>
    </row>
    <row r="6" spans="2:12" x14ac:dyDescent="0.2">
      <c r="B6" s="58" t="s">
        <v>14</v>
      </c>
      <c r="C6" s="59">
        <v>9400</v>
      </c>
      <c r="D6" s="59">
        <v>9483</v>
      </c>
      <c r="E6" s="59">
        <v>8608</v>
      </c>
      <c r="F6" s="59">
        <v>8243</v>
      </c>
      <c r="G6" s="59">
        <v>7978</v>
      </c>
      <c r="H6" s="59">
        <v>7854</v>
      </c>
      <c r="I6" s="59">
        <v>7553</v>
      </c>
      <c r="J6" s="59">
        <v>7788</v>
      </c>
      <c r="K6" s="59">
        <v>7312</v>
      </c>
      <c r="L6" s="59">
        <v>6842</v>
      </c>
    </row>
    <row r="7" spans="2:12" x14ac:dyDescent="0.2">
      <c r="B7" s="58" t="s">
        <v>15</v>
      </c>
      <c r="C7" s="59">
        <v>1586</v>
      </c>
      <c r="D7" s="59">
        <v>1200</v>
      </c>
      <c r="E7" s="59">
        <v>1284</v>
      </c>
      <c r="F7" s="59">
        <v>1212</v>
      </c>
      <c r="G7" s="59">
        <v>1022</v>
      </c>
      <c r="H7" s="59">
        <v>711</v>
      </c>
      <c r="I7" s="59">
        <v>746</v>
      </c>
      <c r="J7" s="59">
        <v>755</v>
      </c>
      <c r="K7" s="59">
        <v>469</v>
      </c>
      <c r="L7" s="59">
        <v>618</v>
      </c>
    </row>
    <row r="8" spans="2:12" x14ac:dyDescent="0.2">
      <c r="B8" s="58" t="s">
        <v>16</v>
      </c>
      <c r="C8" s="59">
        <v>7315</v>
      </c>
      <c r="D8" s="59">
        <v>6991</v>
      </c>
      <c r="E8" s="59">
        <v>6520</v>
      </c>
      <c r="F8" s="59">
        <v>6080</v>
      </c>
      <c r="G8" s="59">
        <v>5712</v>
      </c>
      <c r="H8" s="59">
        <v>5368</v>
      </c>
      <c r="I8" s="59">
        <v>5224</v>
      </c>
      <c r="J8" s="59">
        <v>5225</v>
      </c>
      <c r="K8" s="59">
        <v>4869</v>
      </c>
      <c r="L8" s="59">
        <v>4703</v>
      </c>
    </row>
    <row r="9" spans="2:12" x14ac:dyDescent="0.2">
      <c r="B9" s="58" t="s">
        <v>17</v>
      </c>
      <c r="C9" s="59">
        <v>7387</v>
      </c>
      <c r="D9" s="59">
        <v>7353</v>
      </c>
      <c r="E9" s="59">
        <v>6943</v>
      </c>
      <c r="F9" s="59">
        <v>6778</v>
      </c>
      <c r="G9" s="59">
        <v>6820</v>
      </c>
      <c r="H9" s="59">
        <v>6828</v>
      </c>
      <c r="I9" s="59">
        <v>6830</v>
      </c>
      <c r="J9" s="59">
        <v>6742</v>
      </c>
      <c r="K9" s="59">
        <v>6425</v>
      </c>
      <c r="L9" s="59">
        <v>6214</v>
      </c>
    </row>
    <row r="10" spans="2:12" x14ac:dyDescent="0.2">
      <c r="B10" s="58" t="s">
        <v>18</v>
      </c>
      <c r="C10" s="59">
        <v>8642</v>
      </c>
      <c r="D10" s="59">
        <v>8262</v>
      </c>
      <c r="E10" s="59">
        <v>7462</v>
      </c>
      <c r="F10" s="59">
        <v>7098</v>
      </c>
      <c r="G10" s="59">
        <v>6837</v>
      </c>
      <c r="H10" s="59">
        <v>6550</v>
      </c>
      <c r="I10" s="59">
        <v>6181</v>
      </c>
      <c r="J10" s="59">
        <v>5575</v>
      </c>
      <c r="K10" s="59">
        <v>4834</v>
      </c>
      <c r="L10" s="59">
        <v>4646</v>
      </c>
    </row>
    <row r="11" spans="2:12" x14ac:dyDescent="0.2">
      <c r="B11" s="58" t="s">
        <v>19</v>
      </c>
      <c r="C11" s="59">
        <v>15126</v>
      </c>
      <c r="D11" s="59">
        <v>15132</v>
      </c>
      <c r="E11" s="59">
        <v>15596</v>
      </c>
      <c r="F11" s="59">
        <v>14925</v>
      </c>
      <c r="G11" s="59">
        <v>14571</v>
      </c>
      <c r="H11" s="59">
        <v>14035</v>
      </c>
      <c r="I11" s="59">
        <v>13114</v>
      </c>
      <c r="J11" s="59">
        <v>12562</v>
      </c>
      <c r="K11" s="59">
        <v>11581</v>
      </c>
      <c r="L11" s="59">
        <v>10636</v>
      </c>
    </row>
    <row r="12" spans="2:12" x14ac:dyDescent="0.2">
      <c r="B12" s="58" t="s">
        <v>20</v>
      </c>
      <c r="C12" s="59">
        <v>10707</v>
      </c>
      <c r="D12" s="59">
        <v>10283</v>
      </c>
      <c r="E12" s="59">
        <v>9804</v>
      </c>
      <c r="F12" s="59">
        <v>9513</v>
      </c>
      <c r="G12" s="59">
        <v>9218</v>
      </c>
      <c r="H12" s="59">
        <v>9000</v>
      </c>
      <c r="I12" s="59">
        <v>8513</v>
      </c>
      <c r="J12" s="59">
        <v>8329</v>
      </c>
      <c r="K12" s="59">
        <v>8309</v>
      </c>
      <c r="L12" s="59">
        <v>8199</v>
      </c>
    </row>
    <row r="13" spans="2:12" x14ac:dyDescent="0.2">
      <c r="B13" s="58" t="s">
        <v>21</v>
      </c>
      <c r="C13" s="59">
        <v>5451</v>
      </c>
      <c r="D13" s="59">
        <v>5366</v>
      </c>
      <c r="E13" s="59">
        <v>5328</v>
      </c>
      <c r="F13" s="59">
        <v>5260</v>
      </c>
      <c r="G13" s="59">
        <v>4917</v>
      </c>
      <c r="H13" s="59">
        <v>4607</v>
      </c>
      <c r="I13" s="59">
        <v>4220</v>
      </c>
      <c r="J13" s="59">
        <v>3827</v>
      </c>
      <c r="K13" s="59">
        <v>3425</v>
      </c>
      <c r="L13" s="59">
        <v>3162</v>
      </c>
    </row>
    <row r="14" spans="2:12" x14ac:dyDescent="0.2">
      <c r="B14" s="58" t="s">
        <v>22</v>
      </c>
      <c r="C14" s="59">
        <v>3411</v>
      </c>
      <c r="D14" s="59">
        <v>3275</v>
      </c>
      <c r="E14" s="59">
        <v>3131</v>
      </c>
      <c r="F14" s="59">
        <v>2970</v>
      </c>
      <c r="G14" s="59">
        <v>2752</v>
      </c>
      <c r="H14" s="59">
        <v>2389</v>
      </c>
      <c r="I14" s="59">
        <v>2207</v>
      </c>
      <c r="J14" s="59">
        <v>1922</v>
      </c>
      <c r="K14" s="59">
        <v>1650</v>
      </c>
      <c r="L14" s="59">
        <v>1683</v>
      </c>
    </row>
    <row r="15" spans="2:12" x14ac:dyDescent="0.2">
      <c r="B15" s="58" t="s">
        <v>23</v>
      </c>
      <c r="C15" s="59">
        <v>8729</v>
      </c>
      <c r="D15" s="59">
        <v>8725</v>
      </c>
      <c r="E15" s="59">
        <v>8368</v>
      </c>
      <c r="F15" s="59">
        <v>8279</v>
      </c>
      <c r="G15" s="59">
        <v>8047</v>
      </c>
      <c r="H15" s="59">
        <v>7988</v>
      </c>
      <c r="I15" s="59">
        <v>7927</v>
      </c>
      <c r="J15" s="59">
        <v>7748</v>
      </c>
      <c r="K15" s="59">
        <v>7781</v>
      </c>
      <c r="L15" s="59">
        <v>7817</v>
      </c>
    </row>
    <row r="16" spans="2:12" x14ac:dyDescent="0.2">
      <c r="B16" s="58" t="s">
        <v>24</v>
      </c>
      <c r="C16" s="59">
        <v>8326</v>
      </c>
      <c r="D16" s="59">
        <v>8183</v>
      </c>
      <c r="E16" s="59">
        <v>7724</v>
      </c>
      <c r="F16" s="59">
        <v>7548</v>
      </c>
      <c r="G16" s="59">
        <v>7355</v>
      </c>
      <c r="H16" s="59">
        <v>7058</v>
      </c>
      <c r="I16" s="59">
        <v>6989</v>
      </c>
      <c r="J16" s="59">
        <v>6581</v>
      </c>
      <c r="K16" s="59">
        <v>6408</v>
      </c>
      <c r="L16" s="59">
        <v>6096</v>
      </c>
    </row>
    <row r="17" spans="2:13" x14ac:dyDescent="0.2">
      <c r="B17" s="58" t="s">
        <v>25</v>
      </c>
      <c r="C17" s="59">
        <v>8852</v>
      </c>
      <c r="D17" s="59">
        <v>8712</v>
      </c>
      <c r="E17" s="59">
        <v>8559</v>
      </c>
      <c r="F17" s="59">
        <v>8347</v>
      </c>
      <c r="G17" s="59">
        <v>8495</v>
      </c>
      <c r="H17" s="59">
        <v>8628</v>
      </c>
      <c r="I17" s="59">
        <v>8881</v>
      </c>
      <c r="J17" s="59">
        <v>8895</v>
      </c>
      <c r="K17" s="59">
        <v>8824</v>
      </c>
      <c r="L17" s="59">
        <v>8806</v>
      </c>
      <c r="M17" s="60"/>
    </row>
    <row r="18" spans="2:13" x14ac:dyDescent="0.2">
      <c r="B18" s="61" t="s">
        <v>26</v>
      </c>
      <c r="C18" s="62">
        <v>14490</v>
      </c>
      <c r="D18" s="62">
        <v>15100</v>
      </c>
      <c r="E18" s="62">
        <v>15411</v>
      </c>
      <c r="F18" s="62">
        <v>15845</v>
      </c>
      <c r="G18" s="62">
        <v>16086</v>
      </c>
      <c r="H18" s="62">
        <v>16606</v>
      </c>
      <c r="I18" s="62">
        <v>17006</v>
      </c>
      <c r="J18" s="62">
        <v>17336</v>
      </c>
      <c r="K18" s="62">
        <v>17552</v>
      </c>
      <c r="L18" s="62">
        <v>17691</v>
      </c>
      <c r="M18" s="60"/>
    </row>
    <row r="19" spans="2:13" x14ac:dyDescent="0.2">
      <c r="B19" s="20" t="s">
        <v>27</v>
      </c>
      <c r="C19" s="21">
        <f>SUBTOTAL(109,'Head Count Trend'!$C$5:$C$18)</f>
        <v>119513</v>
      </c>
      <c r="D19" s="21">
        <f>SUBTOTAL(109,'Head Count Trend'!$D$5:$D$18)</f>
        <v>118224</v>
      </c>
      <c r="E19" s="21">
        <f>SUBTOTAL(109,'Head Count Trend'!$E$5:$E$18)</f>
        <v>114688</v>
      </c>
      <c r="F19" s="21">
        <f>SUBTOTAL(109,'Head Count Trend'!$F$5:$F$18)</f>
        <v>112225</v>
      </c>
      <c r="G19" s="21">
        <f>SUBTOTAL(109,'Head Count Trend'!$G$5:$G$18)</f>
        <v>109808</v>
      </c>
      <c r="H19" s="21">
        <f>SUBTOTAL(109,'Head Count Trend'!$H$5:$H$18)</f>
        <v>107399</v>
      </c>
      <c r="I19" s="21">
        <f>SUBTOTAL(109,'Head Count Trend'!$I$5:$I$18)</f>
        <v>105049</v>
      </c>
      <c r="J19" s="21">
        <f>SUBTOTAL(109,'Head Count Trend'!$J$5:$J$18)</f>
        <v>102572</v>
      </c>
      <c r="K19" s="21">
        <f>SUBTOTAL(109,'Head Count Trend'!$K$5:$K$18)</f>
        <v>98363</v>
      </c>
      <c r="L19" s="21">
        <f>SUBTOTAL(109,'Head Count Trend'!$L$5:$L$18)</f>
        <v>95802</v>
      </c>
      <c r="M19" s="60"/>
    </row>
    <row r="21" spans="2:13" ht="14.25" customHeight="1" x14ac:dyDescent="0.2">
      <c r="B21" s="11" t="s">
        <v>28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2:13" x14ac:dyDescent="0.2">
      <c r="B22" s="6" t="s">
        <v>29</v>
      </c>
      <c r="C22" s="7"/>
      <c r="D22" s="7"/>
      <c r="E22" s="7"/>
      <c r="F22" s="7"/>
      <c r="G22" s="8"/>
      <c r="H22" s="8"/>
      <c r="I22" s="8"/>
      <c r="J22" s="8"/>
      <c r="K22" s="8"/>
      <c r="L22" s="8"/>
      <c r="M22" s="8"/>
    </row>
    <row r="23" spans="2:13" x14ac:dyDescent="0.2">
      <c r="B23" s="9" t="s">
        <v>30</v>
      </c>
      <c r="C23" s="10"/>
      <c r="D23" s="10"/>
      <c r="E23" s="10"/>
      <c r="F23" s="10"/>
      <c r="G23" s="9"/>
      <c r="H23" s="9"/>
      <c r="I23" s="9"/>
      <c r="J23" s="9"/>
      <c r="K23" s="9"/>
      <c r="L23" s="9"/>
      <c r="M23" s="9"/>
    </row>
    <row r="24" spans="2:13" x14ac:dyDescent="0.2">
      <c r="B24" s="9" t="s">
        <v>31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</row>
  </sheetData>
  <mergeCells count="2">
    <mergeCell ref="B1:L1"/>
    <mergeCell ref="B2:L2"/>
  </mergeCells>
  <printOptions horizontalCentered="1"/>
  <pageMargins left="0.5" right="0.5" top="1" bottom="0.5" header="0.3" footer="0.3"/>
  <pageSetup scale="70" fitToHeight="0" orientation="landscape" r:id="rId1"/>
  <headerFooter>
    <oddHeader>&amp;L&amp;"Arial,Regular"Pennsylvania's State System of Higher Education | &amp;D
Office of Educational Intelligence | Page &amp;P of &amp;N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B1:AF24"/>
  <sheetViews>
    <sheetView zoomScaleNormal="100" workbookViewId="0">
      <selection activeCell="C19" sqref="C19"/>
    </sheetView>
  </sheetViews>
  <sheetFormatPr defaultRowHeight="14.25" x14ac:dyDescent="0.2"/>
  <cols>
    <col min="1" max="1" width="9.140625" style="5"/>
    <col min="2" max="2" width="23.5703125" style="5" customWidth="1"/>
    <col min="3" max="32" width="10.7109375" style="5" customWidth="1"/>
    <col min="33" max="16384" width="9.140625" style="5"/>
  </cols>
  <sheetData>
    <row r="1" spans="2:32" x14ac:dyDescent="0.2">
      <c r="B1" s="9" t="s">
        <v>31</v>
      </c>
      <c r="C1" s="9" t="s">
        <v>31</v>
      </c>
      <c r="D1" s="9" t="s">
        <v>31</v>
      </c>
      <c r="E1" s="9" t="s">
        <v>31</v>
      </c>
      <c r="F1" s="9" t="s">
        <v>31</v>
      </c>
      <c r="G1" s="9" t="s">
        <v>31</v>
      </c>
      <c r="H1" s="9" t="s">
        <v>31</v>
      </c>
      <c r="I1" s="9" t="s">
        <v>31</v>
      </c>
      <c r="J1" s="9" t="s">
        <v>31</v>
      </c>
      <c r="K1" s="9" t="s">
        <v>31</v>
      </c>
      <c r="L1" s="9" t="s">
        <v>31</v>
      </c>
      <c r="M1" s="9" t="s">
        <v>31</v>
      </c>
      <c r="N1" s="9" t="s">
        <v>31</v>
      </c>
      <c r="O1" s="9" t="s">
        <v>31</v>
      </c>
      <c r="P1" s="9" t="s">
        <v>31</v>
      </c>
      <c r="Q1" s="9" t="s">
        <v>31</v>
      </c>
      <c r="R1" s="9" t="s">
        <v>31</v>
      </c>
      <c r="S1" s="9" t="s">
        <v>31</v>
      </c>
      <c r="T1" s="9" t="s">
        <v>31</v>
      </c>
      <c r="U1" s="9" t="s">
        <v>31</v>
      </c>
      <c r="V1" s="9" t="s">
        <v>31</v>
      </c>
      <c r="W1" s="9" t="s">
        <v>31</v>
      </c>
      <c r="X1" s="9" t="s">
        <v>31</v>
      </c>
      <c r="Y1" s="9" t="s">
        <v>31</v>
      </c>
      <c r="Z1" s="9" t="s">
        <v>31</v>
      </c>
      <c r="AA1" s="9" t="s">
        <v>31</v>
      </c>
      <c r="AB1" s="9" t="s">
        <v>31</v>
      </c>
      <c r="AC1" s="9" t="s">
        <v>31</v>
      </c>
      <c r="AD1" s="9" t="s">
        <v>31</v>
      </c>
      <c r="AE1" s="9" t="s">
        <v>31</v>
      </c>
      <c r="AF1" s="9" t="s">
        <v>31</v>
      </c>
    </row>
    <row r="2" spans="2:32" ht="15" x14ac:dyDescent="0.2">
      <c r="B2" s="131" t="s">
        <v>122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</row>
    <row r="3" spans="2:32" x14ac:dyDescent="0.2">
      <c r="B3" s="134" t="s">
        <v>1</v>
      </c>
      <c r="C3" s="133" t="str">
        <f>CONCATENATE(IF(RIGHT(Parameters!B1,1) = "1","Fall ", "Spring "),IF(RIGHT(Parameters!B1,1) = "1",LEFT(Parameters!B1,4) -9, LEFT(Parameters!B1,4) - 8))</f>
        <v>Fall 2010</v>
      </c>
      <c r="D3" s="133"/>
      <c r="E3" s="133"/>
      <c r="F3" s="133" t="str">
        <f>CONCATENATE(IF(RIGHT(Parameters!B1,1) = "1","Fall ", "Spring "),IF(RIGHT(Parameters!B1,1) = "1",LEFT(Parameters!B1,4) -8, LEFT(Parameters!B1,4) - 7))</f>
        <v>Fall 2011</v>
      </c>
      <c r="G3" s="133"/>
      <c r="H3" s="133"/>
      <c r="I3" s="133" t="str">
        <f>CONCATENATE(IF(RIGHT(Parameters!B1,1) = "1","Fall ", "Spring "),IF(RIGHT(Parameters!B1,1) = "1",LEFT(Parameters!B1,4) -7, LEFT(Parameters!B1,4) - 6))</f>
        <v>Fall 2012</v>
      </c>
      <c r="J3" s="133"/>
      <c r="K3" s="133"/>
      <c r="L3" s="133" t="str">
        <f>CONCATENATE(IF(RIGHT(Parameters!B1,1) = "1","Fall ", "Spring "),IF(RIGHT(Parameters!B1,1) = "1",LEFT(Parameters!B1,4) -6, LEFT(Parameters!B1,4) - 5))</f>
        <v>Fall 2013</v>
      </c>
      <c r="M3" s="133"/>
      <c r="N3" s="133"/>
      <c r="O3" s="133" t="str">
        <f>CONCATENATE(IF(RIGHT(Parameters!B1,1) = "1","Fall ", "Spring "),IF(RIGHT(Parameters!B1,1) = "1",LEFT(Parameters!B1,4) -5, LEFT(Parameters!B1,4) - 4))</f>
        <v>Fall 2014</v>
      </c>
      <c r="P3" s="133"/>
      <c r="Q3" s="133"/>
      <c r="R3" s="133" t="str">
        <f>CONCATENATE(IF(RIGHT(Parameters!B1,1) = "1","Fall ", "Spring "),IF(RIGHT(Parameters!B1,1) = "1",LEFT(Parameters!B1,4) -4, LEFT(Parameters!B1,4) - 3))</f>
        <v>Fall 2015</v>
      </c>
      <c r="S3" s="133"/>
      <c r="T3" s="133"/>
      <c r="U3" s="133" t="str">
        <f>CONCATENATE(IF(RIGHT(Parameters!B1,1) = "1","Fall ", "Spring "),IF(RIGHT(Parameters!B1,1) = "1",LEFT(Parameters!B1,4) -3, LEFT(Parameters!B1,4)-1))</f>
        <v>Fall 2016</v>
      </c>
      <c r="V3" s="133"/>
      <c r="W3" s="133"/>
      <c r="X3" s="133" t="str">
        <f>CONCATENATE(IF(RIGHT(Parameters!B1,1) = "1","Fall ", "Spring "),IF(RIGHT(Parameters!B1,1) = "1",LEFT(Parameters!B1,4) -2, LEFT(Parameters!B1,4) - 1 ))</f>
        <v>Fall 2017</v>
      </c>
      <c r="Y3" s="133"/>
      <c r="Z3" s="133"/>
      <c r="AA3" s="133" t="str">
        <f>CONCATENATE(IF(RIGHT(Parameters!B1,1) = "1","Fall ", "Spring "),IF(RIGHT(Parameters!B1,1) = "1",LEFT(Parameters!B1,4) -1, LEFT(Parameters!B1,4)  ))</f>
        <v>Fall 2018</v>
      </c>
      <c r="AB3" s="133"/>
      <c r="AC3" s="133"/>
      <c r="AD3" s="133" t="str">
        <f>CONCATENATE(IF(RIGHT(Parameters!B1,1) = "1","Fall ", "Spring "),IF(RIGHT(Parameters!B1,1) = "1",LEFT(Parameters!B1,4), LEFT(Parameters!B1,4) + 1))</f>
        <v>Fall 2019</v>
      </c>
      <c r="AE3" s="133"/>
      <c r="AF3" s="133"/>
    </row>
    <row r="4" spans="2:32" ht="42.75" x14ac:dyDescent="0.2">
      <c r="B4" s="135"/>
      <c r="C4" s="54" t="s">
        <v>123</v>
      </c>
      <c r="D4" s="54" t="s">
        <v>82</v>
      </c>
      <c r="E4" s="54" t="s">
        <v>124</v>
      </c>
      <c r="F4" s="54" t="s">
        <v>123</v>
      </c>
      <c r="G4" s="54" t="s">
        <v>82</v>
      </c>
      <c r="H4" s="54" t="s">
        <v>124</v>
      </c>
      <c r="I4" s="54" t="s">
        <v>123</v>
      </c>
      <c r="J4" s="54" t="s">
        <v>82</v>
      </c>
      <c r="K4" s="54" t="s">
        <v>124</v>
      </c>
      <c r="L4" s="54" t="s">
        <v>123</v>
      </c>
      <c r="M4" s="54" t="s">
        <v>82</v>
      </c>
      <c r="N4" s="54" t="s">
        <v>124</v>
      </c>
      <c r="O4" s="54" t="s">
        <v>123</v>
      </c>
      <c r="P4" s="54" t="s">
        <v>82</v>
      </c>
      <c r="Q4" s="54" t="s">
        <v>124</v>
      </c>
      <c r="R4" s="54" t="s">
        <v>123</v>
      </c>
      <c r="S4" s="54" t="s">
        <v>82</v>
      </c>
      <c r="T4" s="54" t="s">
        <v>124</v>
      </c>
      <c r="U4" s="54" t="s">
        <v>123</v>
      </c>
      <c r="V4" s="54" t="s">
        <v>82</v>
      </c>
      <c r="W4" s="54" t="s">
        <v>124</v>
      </c>
      <c r="X4" s="54" t="s">
        <v>123</v>
      </c>
      <c r="Y4" s="54" t="s">
        <v>82</v>
      </c>
      <c r="Z4" s="54" t="s">
        <v>124</v>
      </c>
      <c r="AA4" s="54" t="s">
        <v>123</v>
      </c>
      <c r="AB4" s="54" t="s">
        <v>82</v>
      </c>
      <c r="AC4" s="54" t="s">
        <v>124</v>
      </c>
      <c r="AD4" s="54" t="s">
        <v>123</v>
      </c>
      <c r="AE4" s="54" t="s">
        <v>82</v>
      </c>
      <c r="AF4" s="54" t="s">
        <v>124</v>
      </c>
    </row>
    <row r="5" spans="2:32" ht="15" hidden="1" customHeight="1" x14ac:dyDescent="0.2">
      <c r="B5" s="26" t="s">
        <v>2</v>
      </c>
      <c r="C5" s="26" t="s">
        <v>84</v>
      </c>
      <c r="D5" s="26" t="s">
        <v>85</v>
      </c>
      <c r="E5" s="26" t="s">
        <v>86</v>
      </c>
      <c r="F5" s="26" t="s">
        <v>87</v>
      </c>
      <c r="G5" s="26" t="s">
        <v>88</v>
      </c>
      <c r="H5" s="26" t="s">
        <v>89</v>
      </c>
      <c r="I5" s="26" t="s">
        <v>90</v>
      </c>
      <c r="J5" s="26" t="s">
        <v>91</v>
      </c>
      <c r="K5" s="26" t="s">
        <v>92</v>
      </c>
      <c r="L5" s="26" t="s">
        <v>93</v>
      </c>
      <c r="M5" s="26" t="s">
        <v>94</v>
      </c>
      <c r="N5" s="26" t="s">
        <v>95</v>
      </c>
      <c r="O5" s="26" t="s">
        <v>96</v>
      </c>
      <c r="P5" s="26" t="s">
        <v>97</v>
      </c>
      <c r="Q5" s="26" t="s">
        <v>98</v>
      </c>
      <c r="R5" s="26" t="s">
        <v>99</v>
      </c>
      <c r="S5" s="26" t="s">
        <v>100</v>
      </c>
      <c r="T5" s="26" t="s">
        <v>101</v>
      </c>
      <c r="U5" s="26" t="s">
        <v>102</v>
      </c>
      <c r="V5" s="26" t="s">
        <v>103</v>
      </c>
      <c r="W5" s="26" t="s">
        <v>104</v>
      </c>
      <c r="X5" s="26" t="s">
        <v>105</v>
      </c>
      <c r="Y5" s="26" t="s">
        <v>106</v>
      </c>
      <c r="Z5" s="26" t="s">
        <v>107</v>
      </c>
      <c r="AA5" s="26" t="s">
        <v>108</v>
      </c>
      <c r="AB5" s="26" t="s">
        <v>109</v>
      </c>
      <c r="AC5" s="26" t="s">
        <v>110</v>
      </c>
      <c r="AD5" s="26" t="s">
        <v>111</v>
      </c>
      <c r="AE5" s="26" t="s">
        <v>112</v>
      </c>
      <c r="AF5" s="26" t="s">
        <v>113</v>
      </c>
    </row>
    <row r="6" spans="2:32" x14ac:dyDescent="0.2">
      <c r="B6" s="67" t="s">
        <v>13</v>
      </c>
      <c r="C6" s="57">
        <v>10</v>
      </c>
      <c r="D6" s="57">
        <v>9136.0000080198006</v>
      </c>
      <c r="E6" s="68">
        <v>1.0939999999999999E-3</v>
      </c>
      <c r="F6" s="57">
        <v>8</v>
      </c>
      <c r="G6" s="57">
        <v>9256</v>
      </c>
      <c r="H6" s="68">
        <v>8.6399999999999997E-4</v>
      </c>
      <c r="I6" s="57">
        <v>10</v>
      </c>
      <c r="J6" s="57">
        <v>9203</v>
      </c>
      <c r="K6" s="68">
        <v>1.0859999999999999E-3</v>
      </c>
      <c r="L6" s="57">
        <v>5</v>
      </c>
      <c r="M6" s="57">
        <v>9416</v>
      </c>
      <c r="N6" s="68">
        <v>5.31E-4</v>
      </c>
      <c r="O6" s="57">
        <v>22</v>
      </c>
      <c r="P6" s="57">
        <v>9319</v>
      </c>
      <c r="Q6" s="68">
        <v>2.3600000000000001E-3</v>
      </c>
      <c r="R6" s="57">
        <v>26</v>
      </c>
      <c r="S6" s="57">
        <v>9158</v>
      </c>
      <c r="T6" s="68">
        <v>2.8389999999999999E-3</v>
      </c>
      <c r="U6" s="57">
        <v>21</v>
      </c>
      <c r="V6" s="57">
        <v>8995.0000080338996</v>
      </c>
      <c r="W6" s="68">
        <v>2.3340000000000001E-3</v>
      </c>
      <c r="X6" s="57">
        <v>25</v>
      </c>
      <c r="Y6" s="57">
        <v>8606.0000080728005</v>
      </c>
      <c r="Z6" s="68">
        <v>2.9039999999999999E-3</v>
      </c>
      <c r="AA6" s="57">
        <v>13</v>
      </c>
      <c r="AB6" s="57">
        <v>8253.0000081080998</v>
      </c>
      <c r="AC6" s="68">
        <v>1.575E-3</v>
      </c>
      <c r="AD6" s="57">
        <v>6</v>
      </c>
      <c r="AE6" s="57">
        <v>7992.0000081341996</v>
      </c>
      <c r="AF6" s="68">
        <v>7.5000000000000002E-4</v>
      </c>
    </row>
    <row r="7" spans="2:32" x14ac:dyDescent="0.2">
      <c r="B7" s="69" t="s">
        <v>14</v>
      </c>
      <c r="C7" s="59">
        <v>2</v>
      </c>
      <c r="D7" s="59">
        <v>7419.0000053517997</v>
      </c>
      <c r="E7" s="70">
        <v>2.6899999999999998E-4</v>
      </c>
      <c r="F7" s="59">
        <v>1</v>
      </c>
      <c r="G7" s="59">
        <v>7417</v>
      </c>
      <c r="H7" s="70">
        <v>1.34E-4</v>
      </c>
      <c r="I7" s="59">
        <v>3</v>
      </c>
      <c r="J7" s="59">
        <v>6681</v>
      </c>
      <c r="K7" s="70">
        <v>4.4900000000000002E-4</v>
      </c>
      <c r="L7" s="59">
        <v>0</v>
      </c>
      <c r="M7" s="59">
        <v>6450</v>
      </c>
      <c r="N7" s="70">
        <v>0</v>
      </c>
      <c r="O7" s="59">
        <v>2</v>
      </c>
      <c r="P7" s="59">
        <v>6076</v>
      </c>
      <c r="Q7" s="70">
        <v>3.2899999999999997E-4</v>
      </c>
      <c r="R7" s="59">
        <v>3</v>
      </c>
      <c r="S7" s="59">
        <v>5785</v>
      </c>
      <c r="T7" s="70">
        <v>5.1800000000000001E-4</v>
      </c>
      <c r="U7" s="59">
        <v>3</v>
      </c>
      <c r="V7" s="59">
        <v>5522.0000055415003</v>
      </c>
      <c r="W7" s="70">
        <v>5.4299999999999997E-4</v>
      </c>
      <c r="X7" s="59">
        <v>3</v>
      </c>
      <c r="Y7" s="59">
        <v>5557.0000055379996</v>
      </c>
      <c r="Z7" s="70">
        <v>5.3899999999999998E-4</v>
      </c>
      <c r="AA7" s="59">
        <v>2</v>
      </c>
      <c r="AB7" s="59">
        <v>5174.0000055763003</v>
      </c>
      <c r="AC7" s="70">
        <v>3.86E-4</v>
      </c>
      <c r="AD7" s="59">
        <v>0</v>
      </c>
      <c r="AE7" s="59">
        <v>4856.0000056080999</v>
      </c>
      <c r="AF7" s="70">
        <v>0</v>
      </c>
    </row>
    <row r="8" spans="2:32" x14ac:dyDescent="0.2">
      <c r="B8" s="69" t="s">
        <v>15</v>
      </c>
      <c r="C8" s="59">
        <v>0</v>
      </c>
      <c r="D8" s="59">
        <v>1508.0000007746</v>
      </c>
      <c r="E8" s="70">
        <v>0</v>
      </c>
      <c r="F8" s="59">
        <v>0</v>
      </c>
      <c r="G8" s="59">
        <v>1141</v>
      </c>
      <c r="H8" s="70">
        <v>0</v>
      </c>
      <c r="I8" s="59">
        <v>0</v>
      </c>
      <c r="J8" s="59">
        <v>1224</v>
      </c>
      <c r="K8" s="70">
        <v>0</v>
      </c>
      <c r="L8" s="59">
        <v>0</v>
      </c>
      <c r="M8" s="59">
        <v>1179</v>
      </c>
      <c r="N8" s="70">
        <v>0</v>
      </c>
      <c r="O8" s="59">
        <v>0</v>
      </c>
      <c r="P8" s="59">
        <v>997</v>
      </c>
      <c r="Q8" s="70">
        <v>0</v>
      </c>
      <c r="R8" s="59">
        <v>0</v>
      </c>
      <c r="S8" s="59">
        <v>686</v>
      </c>
      <c r="T8" s="70">
        <v>0</v>
      </c>
      <c r="U8" s="59">
        <v>0</v>
      </c>
      <c r="V8" s="59">
        <v>709.00000085449994</v>
      </c>
      <c r="W8" s="70">
        <v>0</v>
      </c>
      <c r="X8" s="59">
        <v>0</v>
      </c>
      <c r="Y8" s="59">
        <v>723.0000008531</v>
      </c>
      <c r="Z8" s="70">
        <v>0</v>
      </c>
      <c r="AA8" s="59">
        <v>0</v>
      </c>
      <c r="AB8" s="59">
        <v>469.00000087849997</v>
      </c>
      <c r="AC8" s="70">
        <v>0</v>
      </c>
      <c r="AD8" s="59">
        <v>0</v>
      </c>
      <c r="AE8" s="59">
        <v>618.00000086360001</v>
      </c>
      <c r="AF8" s="70">
        <v>0</v>
      </c>
    </row>
    <row r="9" spans="2:32" x14ac:dyDescent="0.2">
      <c r="B9" s="69" t="s">
        <v>16</v>
      </c>
      <c r="C9" s="59">
        <v>0</v>
      </c>
      <c r="D9" s="59">
        <v>6225.0000042422998</v>
      </c>
      <c r="E9" s="70">
        <v>0</v>
      </c>
      <c r="F9" s="59">
        <v>0</v>
      </c>
      <c r="G9" s="59">
        <v>5876</v>
      </c>
      <c r="H9" s="70">
        <v>0</v>
      </c>
      <c r="I9" s="59">
        <v>6</v>
      </c>
      <c r="J9" s="59">
        <v>5518</v>
      </c>
      <c r="K9" s="70">
        <v>1.0870000000000001E-3</v>
      </c>
      <c r="L9" s="59">
        <v>8</v>
      </c>
      <c r="M9" s="59">
        <v>5199</v>
      </c>
      <c r="N9" s="70">
        <v>1.5380000000000001E-3</v>
      </c>
      <c r="O9" s="59">
        <v>5</v>
      </c>
      <c r="P9" s="59">
        <v>4906</v>
      </c>
      <c r="Q9" s="70">
        <v>1.0189999999999999E-3</v>
      </c>
      <c r="R9" s="59">
        <v>3</v>
      </c>
      <c r="S9" s="59">
        <v>4555</v>
      </c>
      <c r="T9" s="70">
        <v>6.5799999999999995E-4</v>
      </c>
      <c r="U9" s="59">
        <v>4</v>
      </c>
      <c r="V9" s="59">
        <v>4330.0000044318003</v>
      </c>
      <c r="W9" s="70">
        <v>9.2299999999999999E-4</v>
      </c>
      <c r="X9" s="59">
        <v>2</v>
      </c>
      <c r="Y9" s="59">
        <v>4321.0000044326998</v>
      </c>
      <c r="Z9" s="70">
        <v>4.6200000000000001E-4</v>
      </c>
      <c r="AA9" s="59">
        <v>5</v>
      </c>
      <c r="AB9" s="59">
        <v>3942.0000044705998</v>
      </c>
      <c r="AC9" s="70">
        <v>1.268E-3</v>
      </c>
      <c r="AD9" s="59">
        <v>4</v>
      </c>
      <c r="AE9" s="59">
        <v>3776.0000044871999</v>
      </c>
      <c r="AF9" s="70">
        <v>1.059E-3</v>
      </c>
    </row>
    <row r="10" spans="2:32" x14ac:dyDescent="0.2">
      <c r="B10" s="69" t="s">
        <v>17</v>
      </c>
      <c r="C10" s="59">
        <v>6</v>
      </c>
      <c r="D10" s="59">
        <v>6372.0000054907996</v>
      </c>
      <c r="E10" s="70">
        <v>9.41E-4</v>
      </c>
      <c r="F10" s="59">
        <v>7</v>
      </c>
      <c r="G10" s="59">
        <v>6656</v>
      </c>
      <c r="H10" s="70">
        <v>1.0510000000000001E-3</v>
      </c>
      <c r="I10" s="59">
        <v>4</v>
      </c>
      <c r="J10" s="59">
        <v>6355</v>
      </c>
      <c r="K10" s="70">
        <v>6.29E-4</v>
      </c>
      <c r="L10" s="59">
        <v>3</v>
      </c>
      <c r="M10" s="59">
        <v>6186</v>
      </c>
      <c r="N10" s="70">
        <v>4.84E-4</v>
      </c>
      <c r="O10" s="59">
        <v>0</v>
      </c>
      <c r="P10" s="59">
        <v>6204</v>
      </c>
      <c r="Q10" s="70">
        <v>0</v>
      </c>
      <c r="R10" s="59">
        <v>0</v>
      </c>
      <c r="S10" s="59">
        <v>6167</v>
      </c>
      <c r="T10" s="70">
        <v>0</v>
      </c>
      <c r="U10" s="59">
        <v>8</v>
      </c>
      <c r="V10" s="59">
        <v>6159.0000055121</v>
      </c>
      <c r="W10" s="70">
        <v>1.2979999999999999E-3</v>
      </c>
      <c r="X10" s="59">
        <v>7</v>
      </c>
      <c r="Y10" s="59">
        <v>6051.0000055229002</v>
      </c>
      <c r="Z10" s="70">
        <v>1.1559999999999999E-3</v>
      </c>
      <c r="AA10" s="59">
        <v>0</v>
      </c>
      <c r="AB10" s="59">
        <v>5713.0000055566998</v>
      </c>
      <c r="AC10" s="70">
        <v>0</v>
      </c>
      <c r="AD10" s="59">
        <v>2</v>
      </c>
      <c r="AE10" s="59">
        <v>5417.0000055863002</v>
      </c>
      <c r="AF10" s="70">
        <v>3.6900000000000002E-4</v>
      </c>
    </row>
    <row r="11" spans="2:32" x14ac:dyDescent="0.2">
      <c r="B11" s="69" t="s">
        <v>18</v>
      </c>
      <c r="C11" s="59">
        <v>0</v>
      </c>
      <c r="D11" s="59">
        <v>6697.0000045547004</v>
      </c>
      <c r="E11" s="70">
        <v>0</v>
      </c>
      <c r="F11" s="59">
        <v>0</v>
      </c>
      <c r="G11" s="59">
        <v>6649</v>
      </c>
      <c r="H11" s="70">
        <v>0</v>
      </c>
      <c r="I11" s="59">
        <v>2</v>
      </c>
      <c r="J11" s="59">
        <v>6090</v>
      </c>
      <c r="K11" s="70">
        <v>3.28E-4</v>
      </c>
      <c r="L11" s="59">
        <v>0</v>
      </c>
      <c r="M11" s="59">
        <v>5864</v>
      </c>
      <c r="N11" s="70">
        <v>0</v>
      </c>
      <c r="O11" s="59">
        <v>2</v>
      </c>
      <c r="P11" s="59">
        <v>5595</v>
      </c>
      <c r="Q11" s="70">
        <v>3.57E-4</v>
      </c>
      <c r="R11" s="59">
        <v>2</v>
      </c>
      <c r="S11" s="59">
        <v>5247</v>
      </c>
      <c r="T11" s="70">
        <v>3.8099999999999999E-4</v>
      </c>
      <c r="U11" s="59">
        <v>0</v>
      </c>
      <c r="V11" s="59">
        <v>4840.0000047404001</v>
      </c>
      <c r="W11" s="70">
        <v>0</v>
      </c>
      <c r="X11" s="59">
        <v>0</v>
      </c>
      <c r="Y11" s="59">
        <v>4291.0000047952999</v>
      </c>
      <c r="Z11" s="70">
        <v>0</v>
      </c>
      <c r="AA11" s="59">
        <v>0</v>
      </c>
      <c r="AB11" s="59">
        <v>3572.0000048672</v>
      </c>
      <c r="AC11" s="70">
        <v>0</v>
      </c>
      <c r="AD11" s="59">
        <v>0</v>
      </c>
      <c r="AE11" s="59">
        <v>3399.0000048845</v>
      </c>
      <c r="AF11" s="70">
        <v>0</v>
      </c>
    </row>
    <row r="12" spans="2:32" x14ac:dyDescent="0.2">
      <c r="B12" s="69" t="s">
        <v>19</v>
      </c>
      <c r="C12" s="59">
        <v>0</v>
      </c>
      <c r="D12" s="59">
        <v>12827.000010232099</v>
      </c>
      <c r="E12" s="70">
        <v>0</v>
      </c>
      <c r="F12" s="59">
        <v>0</v>
      </c>
      <c r="G12" s="59">
        <v>12943</v>
      </c>
      <c r="H12" s="70">
        <v>0</v>
      </c>
      <c r="I12" s="59">
        <v>0</v>
      </c>
      <c r="J12" s="59">
        <v>13275</v>
      </c>
      <c r="K12" s="70">
        <v>0</v>
      </c>
      <c r="L12" s="59">
        <v>30</v>
      </c>
      <c r="M12" s="59">
        <v>12668</v>
      </c>
      <c r="N12" s="70">
        <v>2.3679999999999999E-3</v>
      </c>
      <c r="O12" s="59">
        <v>64</v>
      </c>
      <c r="P12" s="59">
        <v>12332</v>
      </c>
      <c r="Q12" s="70">
        <v>5.189E-3</v>
      </c>
      <c r="R12" s="59">
        <v>84</v>
      </c>
      <c r="S12" s="59">
        <v>11797</v>
      </c>
      <c r="T12" s="70">
        <v>7.1199999999999996E-3</v>
      </c>
      <c r="U12" s="59">
        <v>62</v>
      </c>
      <c r="V12" s="59">
        <v>10879.0000104269</v>
      </c>
      <c r="W12" s="70">
        <v>5.6990000000000001E-3</v>
      </c>
      <c r="X12" s="59">
        <v>63</v>
      </c>
      <c r="Y12" s="59">
        <v>10389.0000104759</v>
      </c>
      <c r="Z12" s="70">
        <v>6.0639999999999999E-3</v>
      </c>
      <c r="AA12" s="59">
        <v>74</v>
      </c>
      <c r="AB12" s="59">
        <v>9471.0000105677009</v>
      </c>
      <c r="AC12" s="70">
        <v>7.8130000000000005E-3</v>
      </c>
      <c r="AD12" s="59">
        <v>84</v>
      </c>
      <c r="AE12" s="59">
        <v>8567.0000106580992</v>
      </c>
      <c r="AF12" s="70">
        <v>9.8049999999999995E-3</v>
      </c>
    </row>
    <row r="13" spans="2:32" x14ac:dyDescent="0.2">
      <c r="B13" s="69" t="s">
        <v>20</v>
      </c>
      <c r="C13" s="59">
        <v>0</v>
      </c>
      <c r="D13" s="59">
        <v>9725.0000074093005</v>
      </c>
      <c r="E13" s="70">
        <v>0</v>
      </c>
      <c r="F13" s="59">
        <v>0</v>
      </c>
      <c r="G13" s="59">
        <v>9486</v>
      </c>
      <c r="H13" s="70">
        <v>0</v>
      </c>
      <c r="I13" s="59">
        <v>0</v>
      </c>
      <c r="J13" s="59">
        <v>9135</v>
      </c>
      <c r="K13" s="70">
        <v>0</v>
      </c>
      <c r="L13" s="59">
        <v>10</v>
      </c>
      <c r="M13" s="59">
        <v>8815</v>
      </c>
      <c r="N13" s="70">
        <v>1.134E-3</v>
      </c>
      <c r="O13" s="59">
        <v>3</v>
      </c>
      <c r="P13" s="59">
        <v>8562</v>
      </c>
      <c r="Q13" s="70">
        <v>3.5E-4</v>
      </c>
      <c r="R13" s="59">
        <v>6</v>
      </c>
      <c r="S13" s="59">
        <v>8293</v>
      </c>
      <c r="T13" s="70">
        <v>7.2300000000000001E-4</v>
      </c>
      <c r="U13" s="59">
        <v>6</v>
      </c>
      <c r="V13" s="59">
        <v>7718.0000076099996</v>
      </c>
      <c r="W13" s="70">
        <v>7.7700000000000002E-4</v>
      </c>
      <c r="X13" s="59">
        <v>3</v>
      </c>
      <c r="Y13" s="59">
        <v>7489.0000076328997</v>
      </c>
      <c r="Z13" s="70">
        <v>4.0000000000000002E-4</v>
      </c>
      <c r="AA13" s="59">
        <v>17</v>
      </c>
      <c r="AB13" s="59">
        <v>7391.0000076427004</v>
      </c>
      <c r="AC13" s="70">
        <v>2.3E-3</v>
      </c>
      <c r="AD13" s="59">
        <v>4</v>
      </c>
      <c r="AE13" s="59">
        <v>7204.0000076613996</v>
      </c>
      <c r="AF13" s="70">
        <v>5.5500000000000005E-4</v>
      </c>
    </row>
    <row r="14" spans="2:32" x14ac:dyDescent="0.2">
      <c r="B14" s="69" t="s">
        <v>21</v>
      </c>
      <c r="C14" s="59">
        <v>25</v>
      </c>
      <c r="D14" s="59">
        <v>5115.0000036729998</v>
      </c>
      <c r="E14" s="70">
        <v>4.8869999999999999E-3</v>
      </c>
      <c r="F14" s="59">
        <v>11</v>
      </c>
      <c r="G14" s="59">
        <v>5029</v>
      </c>
      <c r="H14" s="70">
        <v>2.1870000000000001E-3</v>
      </c>
      <c r="I14" s="59">
        <v>21</v>
      </c>
      <c r="J14" s="59">
        <v>4969</v>
      </c>
      <c r="K14" s="70">
        <v>4.2259999999999997E-3</v>
      </c>
      <c r="L14" s="59">
        <v>21</v>
      </c>
      <c r="M14" s="59">
        <v>4855</v>
      </c>
      <c r="N14" s="70">
        <v>4.3249999999999999E-3</v>
      </c>
      <c r="O14" s="59">
        <v>18</v>
      </c>
      <c r="P14" s="59">
        <v>4521</v>
      </c>
      <c r="Q14" s="70">
        <v>3.9810000000000002E-3</v>
      </c>
      <c r="R14" s="59">
        <v>22</v>
      </c>
      <c r="S14" s="59">
        <v>4220</v>
      </c>
      <c r="T14" s="70">
        <v>5.2129999999999998E-3</v>
      </c>
      <c r="U14" s="59">
        <v>10</v>
      </c>
      <c r="V14" s="59">
        <v>3845.0000037999998</v>
      </c>
      <c r="W14" s="70">
        <v>2.5999999999999999E-3</v>
      </c>
      <c r="X14" s="59">
        <v>9</v>
      </c>
      <c r="Y14" s="59">
        <v>3472.0000038373</v>
      </c>
      <c r="Z14" s="70">
        <v>2.5920000000000001E-3</v>
      </c>
      <c r="AA14" s="59">
        <v>7</v>
      </c>
      <c r="AB14" s="59">
        <v>3067.0000038777998</v>
      </c>
      <c r="AC14" s="70">
        <v>2.2820000000000002E-3</v>
      </c>
      <c r="AD14" s="59">
        <v>4</v>
      </c>
      <c r="AE14" s="59">
        <v>2752.0000039093002</v>
      </c>
      <c r="AF14" s="70">
        <v>1.4530000000000001E-3</v>
      </c>
    </row>
    <row r="15" spans="2:32" x14ac:dyDescent="0.2">
      <c r="B15" s="69" t="s">
        <v>22</v>
      </c>
      <c r="C15" s="59">
        <v>0</v>
      </c>
      <c r="D15" s="59">
        <v>2945.0000020525999</v>
      </c>
      <c r="E15" s="70">
        <v>0</v>
      </c>
      <c r="F15" s="59">
        <v>0</v>
      </c>
      <c r="G15" s="59">
        <v>2876</v>
      </c>
      <c r="H15" s="70">
        <v>0</v>
      </c>
      <c r="I15" s="59">
        <v>0</v>
      </c>
      <c r="J15" s="59">
        <v>2824</v>
      </c>
      <c r="K15" s="70">
        <v>0</v>
      </c>
      <c r="L15" s="59">
        <v>1</v>
      </c>
      <c r="M15" s="59">
        <v>2717</v>
      </c>
      <c r="N15" s="70">
        <v>3.68E-4</v>
      </c>
      <c r="O15" s="59">
        <v>0</v>
      </c>
      <c r="P15" s="59">
        <v>2587</v>
      </c>
      <c r="Q15" s="70">
        <v>0</v>
      </c>
      <c r="R15" s="59">
        <v>0</v>
      </c>
      <c r="S15" s="59">
        <v>2268</v>
      </c>
      <c r="T15" s="70">
        <v>0</v>
      </c>
      <c r="U15" s="59">
        <v>0</v>
      </c>
      <c r="V15" s="59">
        <v>2121.0000021350002</v>
      </c>
      <c r="W15" s="70">
        <v>0</v>
      </c>
      <c r="X15" s="59">
        <v>0</v>
      </c>
      <c r="Y15" s="59">
        <v>1861.0000021610001</v>
      </c>
      <c r="Z15" s="70">
        <v>0</v>
      </c>
      <c r="AA15" s="59">
        <v>0</v>
      </c>
      <c r="AB15" s="59">
        <v>1612.0000021859</v>
      </c>
      <c r="AC15" s="70">
        <v>0</v>
      </c>
      <c r="AD15" s="59">
        <v>0</v>
      </c>
      <c r="AE15" s="59">
        <v>1660.0000021810999</v>
      </c>
      <c r="AF15" s="70">
        <v>0</v>
      </c>
    </row>
    <row r="16" spans="2:32" x14ac:dyDescent="0.2">
      <c r="B16" s="69" t="s">
        <v>23</v>
      </c>
      <c r="C16" s="59">
        <v>23</v>
      </c>
      <c r="D16" s="59">
        <v>7604.0000064041997</v>
      </c>
      <c r="E16" s="70">
        <v>3.0240000000000002E-3</v>
      </c>
      <c r="F16" s="59">
        <v>25</v>
      </c>
      <c r="G16" s="59">
        <v>7644</v>
      </c>
      <c r="H16" s="70">
        <v>3.2699999999999999E-3</v>
      </c>
      <c r="I16" s="59">
        <v>34</v>
      </c>
      <c r="J16" s="59">
        <v>7424</v>
      </c>
      <c r="K16" s="70">
        <v>4.5789999999999997E-3</v>
      </c>
      <c r="L16" s="59">
        <v>21</v>
      </c>
      <c r="M16" s="59">
        <v>7388</v>
      </c>
      <c r="N16" s="70">
        <v>2.8419999999999999E-3</v>
      </c>
      <c r="O16" s="59">
        <v>25</v>
      </c>
      <c r="P16" s="59">
        <v>7171</v>
      </c>
      <c r="Q16" s="70">
        <v>3.4859999999999999E-3</v>
      </c>
      <c r="R16" s="59">
        <v>23</v>
      </c>
      <c r="S16" s="59">
        <v>7084</v>
      </c>
      <c r="T16" s="70">
        <v>3.2460000000000002E-3</v>
      </c>
      <c r="U16" s="59">
        <v>14</v>
      </c>
      <c r="V16" s="59">
        <v>6980.0000064666001</v>
      </c>
      <c r="W16" s="70">
        <v>2.0049999999999998E-3</v>
      </c>
      <c r="X16" s="59">
        <v>15</v>
      </c>
      <c r="Y16" s="59">
        <v>6778.0000064868</v>
      </c>
      <c r="Z16" s="70">
        <v>2.2130000000000001E-3</v>
      </c>
      <c r="AA16" s="59">
        <v>23</v>
      </c>
      <c r="AB16" s="59">
        <v>6779.0000064866999</v>
      </c>
      <c r="AC16" s="70">
        <v>3.392E-3</v>
      </c>
      <c r="AD16" s="59">
        <v>15</v>
      </c>
      <c r="AE16" s="59">
        <v>6794.0000064852002</v>
      </c>
      <c r="AF16" s="70">
        <v>2.2070000000000002E-3</v>
      </c>
    </row>
    <row r="17" spans="2:32" x14ac:dyDescent="0.2">
      <c r="B17" s="69" t="s">
        <v>24</v>
      </c>
      <c r="C17" s="59">
        <v>11</v>
      </c>
      <c r="D17" s="59">
        <v>7143.0000055009996</v>
      </c>
      <c r="E17" s="70">
        <v>1.539E-3</v>
      </c>
      <c r="F17" s="59">
        <v>14</v>
      </c>
      <c r="G17" s="59">
        <v>7132</v>
      </c>
      <c r="H17" s="70">
        <v>1.9620000000000002E-3</v>
      </c>
      <c r="I17" s="59">
        <v>15</v>
      </c>
      <c r="J17" s="59">
        <v>6712</v>
      </c>
      <c r="K17" s="70">
        <v>2.2339999999999999E-3</v>
      </c>
      <c r="L17" s="59">
        <v>16</v>
      </c>
      <c r="M17" s="59">
        <v>6550</v>
      </c>
      <c r="N17" s="70">
        <v>2.4420000000000002E-3</v>
      </c>
      <c r="O17" s="59">
        <v>17</v>
      </c>
      <c r="P17" s="59">
        <v>6305</v>
      </c>
      <c r="Q17" s="70">
        <v>2.696E-3</v>
      </c>
      <c r="R17" s="59">
        <v>10</v>
      </c>
      <c r="S17" s="59">
        <v>6027</v>
      </c>
      <c r="T17" s="70">
        <v>1.6590000000000001E-3</v>
      </c>
      <c r="U17" s="59">
        <v>16</v>
      </c>
      <c r="V17" s="59">
        <v>5912.0000056240997</v>
      </c>
      <c r="W17" s="70">
        <v>2.7060000000000001E-3</v>
      </c>
      <c r="X17" s="59">
        <v>11</v>
      </c>
      <c r="Y17" s="59">
        <v>5585.0000056567997</v>
      </c>
      <c r="Z17" s="70">
        <v>1.9689999999999998E-3</v>
      </c>
      <c r="AA17" s="59">
        <v>14</v>
      </c>
      <c r="AB17" s="59">
        <v>5501.0000056651998</v>
      </c>
      <c r="AC17" s="70">
        <v>2.5439999999999998E-3</v>
      </c>
      <c r="AD17" s="59">
        <v>12</v>
      </c>
      <c r="AE17" s="59">
        <v>5286.0000056867002</v>
      </c>
      <c r="AF17" s="70">
        <v>2.2699999999999999E-3</v>
      </c>
    </row>
    <row r="18" spans="2:32" x14ac:dyDescent="0.2">
      <c r="B18" s="69" t="s">
        <v>25</v>
      </c>
      <c r="C18" s="59">
        <v>16</v>
      </c>
      <c r="D18" s="59">
        <v>8026.0000068893996</v>
      </c>
      <c r="E18" s="70">
        <v>1.993E-3</v>
      </c>
      <c r="F18" s="59">
        <v>0</v>
      </c>
      <c r="G18" s="59">
        <v>7961</v>
      </c>
      <c r="H18" s="70">
        <v>0</v>
      </c>
      <c r="I18" s="59">
        <v>0</v>
      </c>
      <c r="J18" s="59">
        <v>7860</v>
      </c>
      <c r="K18" s="70">
        <v>0</v>
      </c>
      <c r="L18" s="59">
        <v>8</v>
      </c>
      <c r="M18" s="59">
        <v>7595</v>
      </c>
      <c r="N18" s="70">
        <v>1.0529999999999999E-3</v>
      </c>
      <c r="O18" s="59">
        <v>17</v>
      </c>
      <c r="P18" s="59">
        <v>7587</v>
      </c>
      <c r="Q18" s="70">
        <v>2.2399999999999998E-3</v>
      </c>
      <c r="R18" s="59">
        <v>11</v>
      </c>
      <c r="S18" s="59">
        <v>7583</v>
      </c>
      <c r="T18" s="70">
        <v>1.4499999999999999E-3</v>
      </c>
      <c r="U18" s="59">
        <v>15</v>
      </c>
      <c r="V18" s="59">
        <v>7664.0000069256002</v>
      </c>
      <c r="W18" s="70">
        <v>1.957E-3</v>
      </c>
      <c r="X18" s="59">
        <v>12</v>
      </c>
      <c r="Y18" s="59">
        <v>7638.0000069281996</v>
      </c>
      <c r="Z18" s="70">
        <v>1.5709999999999999E-3</v>
      </c>
      <c r="AA18" s="59">
        <v>13</v>
      </c>
      <c r="AB18" s="59">
        <v>7538.0000069382004</v>
      </c>
      <c r="AC18" s="70">
        <v>1.7240000000000001E-3</v>
      </c>
      <c r="AD18" s="59">
        <v>16</v>
      </c>
      <c r="AE18" s="59">
        <v>7468.0000069451999</v>
      </c>
      <c r="AF18" s="70">
        <v>2.1419999999999998E-3</v>
      </c>
    </row>
    <row r="19" spans="2:32" x14ac:dyDescent="0.2">
      <c r="B19" s="71" t="s">
        <v>26</v>
      </c>
      <c r="C19" s="62">
        <v>0</v>
      </c>
      <c r="D19" s="62">
        <v>12232.0000126015</v>
      </c>
      <c r="E19" s="72">
        <v>0</v>
      </c>
      <c r="F19" s="62">
        <v>0</v>
      </c>
      <c r="G19" s="62">
        <v>12834</v>
      </c>
      <c r="H19" s="72">
        <v>0</v>
      </c>
      <c r="I19" s="62">
        <v>0</v>
      </c>
      <c r="J19" s="62">
        <v>13297</v>
      </c>
      <c r="K19" s="72">
        <v>0</v>
      </c>
      <c r="L19" s="62">
        <v>0</v>
      </c>
      <c r="M19" s="62">
        <v>13711</v>
      </c>
      <c r="N19" s="72">
        <v>0</v>
      </c>
      <c r="O19" s="62">
        <v>14</v>
      </c>
      <c r="P19" s="62">
        <v>13844</v>
      </c>
      <c r="Q19" s="72">
        <v>1.011E-3</v>
      </c>
      <c r="R19" s="62">
        <v>3</v>
      </c>
      <c r="S19" s="62">
        <v>14221</v>
      </c>
      <c r="T19" s="72">
        <v>2.1000000000000001E-4</v>
      </c>
      <c r="U19" s="62">
        <v>0</v>
      </c>
      <c r="V19" s="62">
        <v>14398.0000123849</v>
      </c>
      <c r="W19" s="72">
        <v>0</v>
      </c>
      <c r="X19" s="62">
        <v>26</v>
      </c>
      <c r="Y19" s="62">
        <v>14481.0000123766</v>
      </c>
      <c r="Z19" s="72">
        <v>1.7949999999999999E-3</v>
      </c>
      <c r="AA19" s="62">
        <v>22</v>
      </c>
      <c r="AB19" s="62">
        <v>14592.000012365501</v>
      </c>
      <c r="AC19" s="72">
        <v>1.5070000000000001E-3</v>
      </c>
      <c r="AD19" s="62">
        <v>22</v>
      </c>
      <c r="AE19" s="62">
        <v>14637.000012361001</v>
      </c>
      <c r="AF19" s="72">
        <v>1.503E-3</v>
      </c>
    </row>
    <row r="20" spans="2:32" x14ac:dyDescent="0.2">
      <c r="B20" s="20" t="s">
        <v>27</v>
      </c>
      <c r="C20" s="21">
        <f>SUBTOTAL(109,'Study Abroad'!$C$6:$C$19)</f>
        <v>93</v>
      </c>
      <c r="D20" s="21">
        <f>SUBTOTAL(109,'Study Abroad'!$D$6:$D$19)</f>
        <v>102974.00008319708</v>
      </c>
      <c r="E20" s="22">
        <f>'Study Abroad'!$C$20 / 'Study Abroad'!$D$20</f>
        <v>9.0314059786801852E-4</v>
      </c>
      <c r="F20" s="21">
        <f>SUBTOTAL(109,'Study Abroad'!$F$6:$F$19)</f>
        <v>66</v>
      </c>
      <c r="G20" s="21">
        <f>SUBTOTAL(109,'Study Abroad'!$G$6:$G$19)</f>
        <v>102900</v>
      </c>
      <c r="H20" s="22">
        <f>'Study Abroad'!$F$20 / 'Study Abroad'!$G$20</f>
        <v>6.4139941690962094E-4</v>
      </c>
      <c r="I20" s="21">
        <f>SUBTOTAL(109,'Study Abroad'!$I$6:$I$19)</f>
        <v>95</v>
      </c>
      <c r="J20" s="21">
        <f>SUBTOTAL(109,'Study Abroad'!$J$6:$J$19)</f>
        <v>100567</v>
      </c>
      <c r="K20" s="22">
        <f>'Study Abroad'!$I$20 / 'Study Abroad'!$J$20</f>
        <v>9.4464386926128849E-4</v>
      </c>
      <c r="L20" s="21">
        <f>SUBTOTAL(109,'Study Abroad'!$L$6:$L$19)</f>
        <v>123</v>
      </c>
      <c r="M20" s="21">
        <f>SUBTOTAL(109,'Study Abroad'!$M$6:$M$19)</f>
        <v>98593</v>
      </c>
      <c r="N20" s="22">
        <f>'Study Abroad'!$L$20 /'Study Abroad'!$M$20</f>
        <v>1.2475530717190875E-3</v>
      </c>
      <c r="O20" s="21">
        <f>SUBTOTAL(109,'Study Abroad'!$O$6:$O$19)</f>
        <v>189</v>
      </c>
      <c r="P20" s="21">
        <f>SUBTOTAL(109,'Study Abroad'!$P$6:$P$19)</f>
        <v>96006</v>
      </c>
      <c r="Q20" s="22">
        <f>'Study Abroad'!$O$20 / 'Study Abroad'!$P$20</f>
        <v>1.9686269608149491E-3</v>
      </c>
      <c r="R20" s="21">
        <f>SUBTOTAL(109,'Study Abroad'!$R$6:$R$19)</f>
        <v>193</v>
      </c>
      <c r="S20" s="21">
        <f>SUBTOTAL(109,'Study Abroad'!$S$6:$S$19)</f>
        <v>93091</v>
      </c>
      <c r="T20" s="22">
        <f>'Study Abroad'!$R$20 / 'Study Abroad'!$S$20</f>
        <v>2.0732401628514034E-3</v>
      </c>
      <c r="U20" s="21">
        <f>SUBTOTAL(109,'Study Abroad'!$U$6:$U$19)</f>
        <v>159</v>
      </c>
      <c r="V20" s="21">
        <f>SUBTOTAL(109,'Study Abroad'!$V$6:$V$19)</f>
        <v>90072.000084487299</v>
      </c>
      <c r="W20" s="22">
        <f>'Study Abroad'!$U$20 / 'Study Abroad'!$V$20</f>
        <v>1.7652544614403856E-3</v>
      </c>
      <c r="X20" s="21">
        <f>SUBTOTAL(109,'Study Abroad'!$X$6:$X$19)</f>
        <v>176</v>
      </c>
      <c r="Y20" s="21">
        <f>SUBTOTAL(109,'Study Abroad'!$Y$6:$Y$19)</f>
        <v>87242.00008477029</v>
      </c>
      <c r="Z20" s="22">
        <f>'Study Abroad'!$X$20 / 'Study Abroad'!$Y$20</f>
        <v>2.017376949508108E-3</v>
      </c>
      <c r="AA20" s="21">
        <f>SUBTOTAL(109,'Study Abroad'!$AA$6:$AA$19)</f>
        <v>190</v>
      </c>
      <c r="AB20" s="21">
        <f>SUBTOTAL(109,'Study Abroad'!$AB$6:$AB$19)</f>
        <v>83074.000085187101</v>
      </c>
      <c r="AC20" s="22">
        <f>'Study Abroad'!$AA$20 / 'Study Abroad'!$AB$20</f>
        <v>2.2871175073448623E-3</v>
      </c>
      <c r="AD20" s="21">
        <f>SUBTOTAL(109,'Study Abroad'!$AD$6:$AD$19)</f>
        <v>169</v>
      </c>
      <c r="AE20" s="21">
        <f>SUBTOTAL(109,'Study Abroad'!$AE$6:$AE$19)</f>
        <v>80426.000085451902</v>
      </c>
      <c r="AF20" s="22">
        <f>'Study Abroad'!$AD$20 / 'Study Abroad'!$AE$20</f>
        <v>2.101310519240532E-3</v>
      </c>
    </row>
    <row r="22" spans="2:32" x14ac:dyDescent="0.2">
      <c r="B22" s="6" t="s">
        <v>29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</row>
    <row r="23" spans="2:32" x14ac:dyDescent="0.2">
      <c r="B23" s="9" t="s">
        <v>30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</row>
    <row r="24" spans="2:32" x14ac:dyDescent="0.2">
      <c r="B24" s="9" t="s">
        <v>31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</row>
  </sheetData>
  <mergeCells count="12">
    <mergeCell ref="AA3:AC3"/>
    <mergeCell ref="AD3:AF3"/>
    <mergeCell ref="B2:AF2"/>
    <mergeCell ref="C3:E3"/>
    <mergeCell ref="F3:H3"/>
    <mergeCell ref="I3:K3"/>
    <mergeCell ref="L3:N3"/>
    <mergeCell ref="O3:Q3"/>
    <mergeCell ref="R3:T3"/>
    <mergeCell ref="U3:W3"/>
    <mergeCell ref="X3:Z3"/>
    <mergeCell ref="B3:B4"/>
  </mergeCells>
  <printOptions horizontalCentered="1"/>
  <pageMargins left="0.5" right="0.5" top="1" bottom="0.5" header="0.3" footer="0.3"/>
  <pageSetup paperSize="17" scale="59" fitToHeight="0" orientation="landscape" r:id="rId1"/>
  <headerFooter>
    <oddHeader>&amp;L&amp;"Arial,Regular"&amp;10Pennsylvania's State System of Higher Education | &amp;D
Office of Educational Intelligence | Page &amp;P of &amp;N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B1:AF66"/>
  <sheetViews>
    <sheetView zoomScaleNormal="100" workbookViewId="0">
      <selection activeCell="B66" sqref="B66"/>
    </sheetView>
  </sheetViews>
  <sheetFormatPr defaultRowHeight="14.25" x14ac:dyDescent="0.2"/>
  <cols>
    <col min="1" max="1" width="9.140625" style="5"/>
    <col min="2" max="2" width="23.5703125" style="5" customWidth="1"/>
    <col min="3" max="32" width="10.7109375" style="5" customWidth="1"/>
    <col min="33" max="16384" width="9.140625" style="5"/>
  </cols>
  <sheetData>
    <row r="1" spans="2:32" ht="15" x14ac:dyDescent="0.2">
      <c r="B1" s="131" t="s">
        <v>0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</row>
    <row r="2" spans="2:32" ht="15" x14ac:dyDescent="0.2">
      <c r="B2" s="127" t="s">
        <v>125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</row>
    <row r="3" spans="2:32" x14ac:dyDescent="0.2">
      <c r="B3" s="134" t="s">
        <v>1</v>
      </c>
      <c r="C3" s="133" t="str">
        <f>CONCATENATE(IF(RIGHT(Parameters!B1,1) = "1","Fall ", "Spring "),IF(RIGHT(Parameters!B1,1) = "1",LEFT(Parameters!B1,4) -9, LEFT(Parameters!B1,4) - 8))</f>
        <v>Fall 2010</v>
      </c>
      <c r="D3" s="133"/>
      <c r="E3" s="133"/>
      <c r="F3" s="133" t="str">
        <f>CONCATENATE(IF(RIGHT(Parameters!B1,1) = "1","Fall ", "Spring "),IF(RIGHT(Parameters!B1,1) = "1",LEFT(Parameters!B1,4) -8, LEFT(Parameters!B1,4) - 7))</f>
        <v>Fall 2011</v>
      </c>
      <c r="G3" s="133"/>
      <c r="H3" s="133"/>
      <c r="I3" s="133" t="str">
        <f>CONCATENATE(IF(RIGHT(Parameters!B1,1) = "1","Fall ", "Spring "),IF(RIGHT(Parameters!B1,1) = "1",LEFT(Parameters!B1,4) -7, LEFT(Parameters!B1,4) - 6))</f>
        <v>Fall 2012</v>
      </c>
      <c r="J3" s="133"/>
      <c r="K3" s="133"/>
      <c r="L3" s="133" t="str">
        <f>CONCATENATE(IF(RIGHT(Parameters!B1,1) = "1","Fall ", "Spring "),IF(RIGHT(Parameters!B1,1) = "1",LEFT(Parameters!B1,4) -6, LEFT(Parameters!B1,4) - 5))</f>
        <v>Fall 2013</v>
      </c>
      <c r="M3" s="133"/>
      <c r="N3" s="133"/>
      <c r="O3" s="133" t="str">
        <f>CONCATENATE(IF(RIGHT(Parameters!B1,1) = "1","Fall ", "Spring "),IF(RIGHT(Parameters!B1,1) = "1",LEFT(Parameters!B1,4) -5, LEFT(Parameters!B1,4) - 4))</f>
        <v>Fall 2014</v>
      </c>
      <c r="P3" s="133"/>
      <c r="Q3" s="133"/>
      <c r="R3" s="133" t="str">
        <f>CONCATENATE(IF(RIGHT(Parameters!B1,1) = "1","Fall ", "Spring "),IF(RIGHT(Parameters!B1,1) = "1",LEFT(Parameters!B1,4) -4, LEFT(Parameters!B1,4) - 3))</f>
        <v>Fall 2015</v>
      </c>
      <c r="S3" s="133"/>
      <c r="T3" s="133"/>
      <c r="U3" s="133" t="str">
        <f>CONCATENATE(IF(RIGHT(Parameters!B1,1) = "1","Fall ", "Spring "),IF(RIGHT(Parameters!B1,1) = "1",LEFT(Parameters!B1,4) -3, LEFT(Parameters!B1,4) -2 ))</f>
        <v>Fall 2016</v>
      </c>
      <c r="V3" s="133"/>
      <c r="W3" s="133"/>
      <c r="X3" s="133" t="str">
        <f>CONCATENATE(IF(RIGHT(Parameters!B1,1) = "1","Fall ", "Spring "),IF(RIGHT(Parameters!B1,1) = "1",LEFT(Parameters!B1,4) -2, LEFT(Parameters!B1,4) -1 ))</f>
        <v>Fall 2017</v>
      </c>
      <c r="Y3" s="133"/>
      <c r="Z3" s="133"/>
      <c r="AA3" s="133" t="str">
        <f>CONCATENATE(IF(RIGHT(Parameters!B1,1) = "1","Fall ", "Spring "),IF(RIGHT(Parameters!B1,1) = "1",LEFT(Parameters!B1,4) -1, LEFT(Parameters!B1,4)  ))</f>
        <v>Fall 2018</v>
      </c>
      <c r="AB3" s="133"/>
      <c r="AC3" s="133"/>
      <c r="AD3" s="133" t="str">
        <f>CONCATENATE(IF(RIGHT(Parameters!B1,1) = "1","Fall ", "Spring "),IF(RIGHT(Parameters!B1,1) = "1",LEFT(Parameters!B1,4), LEFT(Parameters!B1,4) + 1))</f>
        <v>Fall 2019</v>
      </c>
      <c r="AE3" s="133"/>
      <c r="AF3" s="133"/>
    </row>
    <row r="4" spans="2:32" ht="28.5" customHeight="1" x14ac:dyDescent="0.2">
      <c r="B4" s="135"/>
      <c r="C4" s="54" t="s">
        <v>126</v>
      </c>
      <c r="D4" s="54" t="s">
        <v>127</v>
      </c>
      <c r="E4" s="54" t="s">
        <v>128</v>
      </c>
      <c r="F4" s="54" t="s">
        <v>126</v>
      </c>
      <c r="G4" s="54" t="s">
        <v>127</v>
      </c>
      <c r="H4" s="54" t="s">
        <v>128</v>
      </c>
      <c r="I4" s="54" t="s">
        <v>126</v>
      </c>
      <c r="J4" s="54" t="s">
        <v>127</v>
      </c>
      <c r="K4" s="54" t="s">
        <v>128</v>
      </c>
      <c r="L4" s="54" t="s">
        <v>126</v>
      </c>
      <c r="M4" s="54" t="s">
        <v>127</v>
      </c>
      <c r="N4" s="54" t="s">
        <v>128</v>
      </c>
      <c r="O4" s="54" t="s">
        <v>126</v>
      </c>
      <c r="P4" s="54" t="s">
        <v>127</v>
      </c>
      <c r="Q4" s="54" t="s">
        <v>128</v>
      </c>
      <c r="R4" s="54" t="s">
        <v>126</v>
      </c>
      <c r="S4" s="54" t="s">
        <v>127</v>
      </c>
      <c r="T4" s="54" t="s">
        <v>128</v>
      </c>
      <c r="U4" s="54" t="s">
        <v>126</v>
      </c>
      <c r="V4" s="54" t="s">
        <v>127</v>
      </c>
      <c r="W4" s="54" t="s">
        <v>128</v>
      </c>
      <c r="X4" s="54" t="s">
        <v>126</v>
      </c>
      <c r="Y4" s="54" t="s">
        <v>127</v>
      </c>
      <c r="Z4" s="54" t="s">
        <v>128</v>
      </c>
      <c r="AA4" s="54" t="s">
        <v>126</v>
      </c>
      <c r="AB4" s="54" t="s">
        <v>127</v>
      </c>
      <c r="AC4" s="54" t="s">
        <v>128</v>
      </c>
      <c r="AD4" s="54" t="s">
        <v>126</v>
      </c>
      <c r="AE4" s="54" t="s">
        <v>127</v>
      </c>
      <c r="AF4" s="54" t="s">
        <v>128</v>
      </c>
    </row>
    <row r="5" spans="2:32" ht="17.25" hidden="1" customHeight="1" thickBot="1" x14ac:dyDescent="0.25">
      <c r="B5" s="26" t="s">
        <v>2</v>
      </c>
      <c r="C5" s="26" t="s">
        <v>84</v>
      </c>
      <c r="D5" s="26" t="s">
        <v>85</v>
      </c>
      <c r="E5" s="26" t="s">
        <v>86</v>
      </c>
      <c r="F5" s="26" t="s">
        <v>87</v>
      </c>
      <c r="G5" s="26" t="s">
        <v>88</v>
      </c>
      <c r="H5" s="26" t="s">
        <v>89</v>
      </c>
      <c r="I5" s="26" t="s">
        <v>90</v>
      </c>
      <c r="J5" s="26" t="s">
        <v>91</v>
      </c>
      <c r="K5" s="26" t="s">
        <v>92</v>
      </c>
      <c r="L5" s="26" t="s">
        <v>93</v>
      </c>
      <c r="M5" s="26" t="s">
        <v>94</v>
      </c>
      <c r="N5" s="26" t="s">
        <v>95</v>
      </c>
      <c r="O5" s="26" t="s">
        <v>96</v>
      </c>
      <c r="P5" s="26" t="s">
        <v>97</v>
      </c>
      <c r="Q5" s="26" t="s">
        <v>98</v>
      </c>
      <c r="R5" s="26" t="s">
        <v>99</v>
      </c>
      <c r="S5" s="26" t="s">
        <v>100</v>
      </c>
      <c r="T5" s="26" t="s">
        <v>101</v>
      </c>
      <c r="U5" s="26" t="s">
        <v>102</v>
      </c>
      <c r="V5" s="26" t="s">
        <v>103</v>
      </c>
      <c r="W5" s="26" t="s">
        <v>104</v>
      </c>
      <c r="X5" s="26" t="s">
        <v>105</v>
      </c>
      <c r="Y5" s="26" t="s">
        <v>106</v>
      </c>
      <c r="Z5" s="26" t="s">
        <v>107</v>
      </c>
      <c r="AA5" s="26" t="s">
        <v>108</v>
      </c>
      <c r="AB5" s="26" t="s">
        <v>109</v>
      </c>
      <c r="AC5" s="26" t="s">
        <v>110</v>
      </c>
      <c r="AD5" s="26" t="s">
        <v>111</v>
      </c>
      <c r="AE5" s="26" t="s">
        <v>112</v>
      </c>
      <c r="AF5" s="26" t="s">
        <v>113</v>
      </c>
    </row>
    <row r="6" spans="2:32" x14ac:dyDescent="0.2">
      <c r="B6" s="67" t="s">
        <v>13</v>
      </c>
      <c r="C6" s="57">
        <v>8961</v>
      </c>
      <c r="D6" s="57">
        <v>1130</v>
      </c>
      <c r="E6" s="68">
        <v>0.888019</v>
      </c>
      <c r="F6" s="57">
        <v>8938</v>
      </c>
      <c r="G6" s="57">
        <v>1221</v>
      </c>
      <c r="H6" s="68">
        <v>0.87981100000000001</v>
      </c>
      <c r="I6" s="57">
        <v>8725</v>
      </c>
      <c r="J6" s="57">
        <v>1225</v>
      </c>
      <c r="K6" s="68">
        <v>0.876884</v>
      </c>
      <c r="L6" s="57">
        <v>8931</v>
      </c>
      <c r="M6" s="57">
        <v>1196</v>
      </c>
      <c r="N6" s="68">
        <v>0.88189899999999999</v>
      </c>
      <c r="O6" s="57">
        <v>8907</v>
      </c>
      <c r="P6" s="57">
        <v>1091</v>
      </c>
      <c r="Q6" s="68">
        <v>0.89087799999999995</v>
      </c>
      <c r="R6" s="57">
        <v>8733</v>
      </c>
      <c r="S6" s="57">
        <v>1044</v>
      </c>
      <c r="T6" s="68">
        <v>0.89321799999999996</v>
      </c>
      <c r="U6" s="57">
        <v>8735</v>
      </c>
      <c r="V6" s="57">
        <v>923</v>
      </c>
      <c r="W6" s="68">
        <v>0.90443099999999998</v>
      </c>
      <c r="X6" s="57">
        <v>8427</v>
      </c>
      <c r="Y6" s="57">
        <v>860</v>
      </c>
      <c r="Z6" s="68">
        <v>0.90739700000000001</v>
      </c>
      <c r="AA6" s="57">
        <v>8161</v>
      </c>
      <c r="AB6" s="57">
        <v>763</v>
      </c>
      <c r="AC6" s="68">
        <v>0.91449999999999998</v>
      </c>
      <c r="AD6" s="57">
        <v>7968</v>
      </c>
      <c r="AE6" s="57">
        <v>721</v>
      </c>
      <c r="AF6" s="68">
        <v>0.91702099999999998</v>
      </c>
    </row>
    <row r="7" spans="2:32" x14ac:dyDescent="0.2">
      <c r="B7" s="69" t="s">
        <v>14</v>
      </c>
      <c r="C7" s="59">
        <v>8124</v>
      </c>
      <c r="D7" s="59">
        <v>1276</v>
      </c>
      <c r="E7" s="70">
        <v>0.864255</v>
      </c>
      <c r="F7" s="59">
        <v>8120</v>
      </c>
      <c r="G7" s="59">
        <v>1363</v>
      </c>
      <c r="H7" s="70">
        <v>0.85626899999999995</v>
      </c>
      <c r="I7" s="59">
        <v>7382</v>
      </c>
      <c r="J7" s="59">
        <v>1226</v>
      </c>
      <c r="K7" s="70">
        <v>0.85757399999999995</v>
      </c>
      <c r="L7" s="59">
        <v>7043</v>
      </c>
      <c r="M7" s="59">
        <v>1200</v>
      </c>
      <c r="N7" s="70">
        <v>0.85442099999999999</v>
      </c>
      <c r="O7" s="59">
        <v>6735</v>
      </c>
      <c r="P7" s="59">
        <v>1243</v>
      </c>
      <c r="Q7" s="70">
        <v>0.84419599999999995</v>
      </c>
      <c r="R7" s="59">
        <v>6594</v>
      </c>
      <c r="S7" s="59">
        <v>1260</v>
      </c>
      <c r="T7" s="70">
        <v>0.83957199999999998</v>
      </c>
      <c r="U7" s="59">
        <v>6316</v>
      </c>
      <c r="V7" s="59">
        <v>1237</v>
      </c>
      <c r="W7" s="70">
        <v>0.83622399999999997</v>
      </c>
      <c r="X7" s="59">
        <v>6336</v>
      </c>
      <c r="Y7" s="59">
        <v>1452</v>
      </c>
      <c r="Z7" s="70">
        <v>0.81355900000000003</v>
      </c>
      <c r="AA7" s="59">
        <v>6053</v>
      </c>
      <c r="AB7" s="59">
        <v>1259</v>
      </c>
      <c r="AC7" s="70">
        <v>0.82781700000000003</v>
      </c>
      <c r="AD7" s="59">
        <v>5693</v>
      </c>
      <c r="AE7" s="59">
        <v>1149</v>
      </c>
      <c r="AF7" s="70">
        <v>0.83206599999999997</v>
      </c>
    </row>
    <row r="8" spans="2:32" x14ac:dyDescent="0.2">
      <c r="B8" s="69" t="s">
        <v>15</v>
      </c>
      <c r="C8" s="59">
        <v>1210</v>
      </c>
      <c r="D8" s="59">
        <v>376</v>
      </c>
      <c r="E8" s="70">
        <v>0.76292499999999996</v>
      </c>
      <c r="F8" s="59">
        <v>955</v>
      </c>
      <c r="G8" s="59">
        <v>245</v>
      </c>
      <c r="H8" s="70">
        <v>0.79583300000000001</v>
      </c>
      <c r="I8" s="59">
        <v>1022</v>
      </c>
      <c r="J8" s="59">
        <v>262</v>
      </c>
      <c r="K8" s="70">
        <v>0.79595000000000005</v>
      </c>
      <c r="L8" s="59">
        <v>947</v>
      </c>
      <c r="M8" s="59">
        <v>265</v>
      </c>
      <c r="N8" s="70">
        <v>0.78135299999999996</v>
      </c>
      <c r="O8" s="59">
        <v>748</v>
      </c>
      <c r="P8" s="59">
        <v>274</v>
      </c>
      <c r="Q8" s="70">
        <v>0.73189800000000005</v>
      </c>
      <c r="R8" s="59">
        <v>512</v>
      </c>
      <c r="S8" s="59">
        <v>199</v>
      </c>
      <c r="T8" s="70">
        <v>0.72011199999999997</v>
      </c>
      <c r="U8" s="59">
        <v>507</v>
      </c>
      <c r="V8" s="59">
        <v>239</v>
      </c>
      <c r="W8" s="70">
        <v>0.67962400000000001</v>
      </c>
      <c r="X8" s="59">
        <v>509</v>
      </c>
      <c r="Y8" s="59">
        <v>246</v>
      </c>
      <c r="Z8" s="70">
        <v>0.67417199999999999</v>
      </c>
      <c r="AA8" s="59">
        <v>369</v>
      </c>
      <c r="AB8" s="59">
        <v>100</v>
      </c>
      <c r="AC8" s="70">
        <v>0.78678000000000003</v>
      </c>
      <c r="AD8" s="59">
        <v>500</v>
      </c>
      <c r="AE8" s="59">
        <v>118</v>
      </c>
      <c r="AF8" s="70">
        <v>0.80906100000000003</v>
      </c>
    </row>
    <row r="9" spans="2:32" x14ac:dyDescent="0.2">
      <c r="B9" s="69" t="s">
        <v>16</v>
      </c>
      <c r="C9" s="59">
        <v>6677</v>
      </c>
      <c r="D9" s="59">
        <v>638</v>
      </c>
      <c r="E9" s="70">
        <v>0.91278099999999995</v>
      </c>
      <c r="F9" s="59">
        <v>6255</v>
      </c>
      <c r="G9" s="59">
        <v>736</v>
      </c>
      <c r="H9" s="70">
        <v>0.89472099999999999</v>
      </c>
      <c r="I9" s="59">
        <v>5821</v>
      </c>
      <c r="J9" s="59">
        <v>699</v>
      </c>
      <c r="K9" s="70">
        <v>0.892791</v>
      </c>
      <c r="L9" s="59">
        <v>5411</v>
      </c>
      <c r="M9" s="59">
        <v>669</v>
      </c>
      <c r="N9" s="70">
        <v>0.88996699999999995</v>
      </c>
      <c r="O9" s="59">
        <v>4996</v>
      </c>
      <c r="P9" s="59">
        <v>716</v>
      </c>
      <c r="Q9" s="70">
        <v>0.87464900000000001</v>
      </c>
      <c r="R9" s="59">
        <v>4773</v>
      </c>
      <c r="S9" s="59">
        <v>595</v>
      </c>
      <c r="T9" s="70">
        <v>0.88915699999999998</v>
      </c>
      <c r="U9" s="59">
        <v>4624</v>
      </c>
      <c r="V9" s="59">
        <v>600</v>
      </c>
      <c r="W9" s="70">
        <v>0.88514499999999996</v>
      </c>
      <c r="X9" s="59">
        <v>4633</v>
      </c>
      <c r="Y9" s="59">
        <v>592</v>
      </c>
      <c r="Z9" s="70">
        <v>0.88669799999999999</v>
      </c>
      <c r="AA9" s="59">
        <v>4303</v>
      </c>
      <c r="AB9" s="59">
        <v>566</v>
      </c>
      <c r="AC9" s="70">
        <v>0.88375400000000004</v>
      </c>
      <c r="AD9" s="59">
        <v>4144</v>
      </c>
      <c r="AE9" s="59">
        <v>559</v>
      </c>
      <c r="AF9" s="70">
        <v>0.88113900000000001</v>
      </c>
    </row>
    <row r="10" spans="2:32" x14ac:dyDescent="0.2">
      <c r="B10" s="69" t="s">
        <v>17</v>
      </c>
      <c r="C10" s="59">
        <v>5579</v>
      </c>
      <c r="D10" s="59">
        <v>1808</v>
      </c>
      <c r="E10" s="70">
        <v>0.75524500000000006</v>
      </c>
      <c r="F10" s="59">
        <v>5536</v>
      </c>
      <c r="G10" s="59">
        <v>1817</v>
      </c>
      <c r="H10" s="70">
        <v>0.75288900000000003</v>
      </c>
      <c r="I10" s="59">
        <v>5226</v>
      </c>
      <c r="J10" s="59">
        <v>1717</v>
      </c>
      <c r="K10" s="70">
        <v>0.75270000000000004</v>
      </c>
      <c r="L10" s="59">
        <v>5096</v>
      </c>
      <c r="M10" s="59">
        <v>1682</v>
      </c>
      <c r="N10" s="70">
        <v>0.75184399999999996</v>
      </c>
      <c r="O10" s="59">
        <v>5231</v>
      </c>
      <c r="P10" s="59">
        <v>1589</v>
      </c>
      <c r="Q10" s="70">
        <v>0.76700800000000002</v>
      </c>
      <c r="R10" s="59">
        <v>5331</v>
      </c>
      <c r="S10" s="59">
        <v>1497</v>
      </c>
      <c r="T10" s="70">
        <v>0.78075499999999998</v>
      </c>
      <c r="U10" s="59">
        <v>5357</v>
      </c>
      <c r="V10" s="59">
        <v>1473</v>
      </c>
      <c r="W10" s="70">
        <v>0.78433299999999995</v>
      </c>
      <c r="X10" s="59">
        <v>5362</v>
      </c>
      <c r="Y10" s="59">
        <v>1380</v>
      </c>
      <c r="Z10" s="70">
        <v>0.79531200000000002</v>
      </c>
      <c r="AA10" s="59">
        <v>5088</v>
      </c>
      <c r="AB10" s="59">
        <v>1337</v>
      </c>
      <c r="AC10" s="70">
        <v>0.791906</v>
      </c>
      <c r="AD10" s="59">
        <v>4953</v>
      </c>
      <c r="AE10" s="59">
        <v>1261</v>
      </c>
      <c r="AF10" s="70">
        <v>0.79707099999999997</v>
      </c>
    </row>
    <row r="11" spans="2:32" x14ac:dyDescent="0.2">
      <c r="B11" s="69" t="s">
        <v>18</v>
      </c>
      <c r="C11" s="59">
        <v>7649</v>
      </c>
      <c r="D11" s="59">
        <v>993</v>
      </c>
      <c r="E11" s="70">
        <v>0.88509599999999999</v>
      </c>
      <c r="F11" s="59">
        <v>7207</v>
      </c>
      <c r="G11" s="59">
        <v>1055</v>
      </c>
      <c r="H11" s="70">
        <v>0.87230600000000003</v>
      </c>
      <c r="I11" s="59">
        <v>6434</v>
      </c>
      <c r="J11" s="59">
        <v>1028</v>
      </c>
      <c r="K11" s="70">
        <v>0.86223499999999997</v>
      </c>
      <c r="L11" s="59">
        <v>6097</v>
      </c>
      <c r="M11" s="59">
        <v>1001</v>
      </c>
      <c r="N11" s="70">
        <v>0.85897400000000002</v>
      </c>
      <c r="O11" s="59">
        <v>5799</v>
      </c>
      <c r="P11" s="59">
        <v>1038</v>
      </c>
      <c r="Q11" s="70">
        <v>0.84817900000000002</v>
      </c>
      <c r="R11" s="59">
        <v>5407</v>
      </c>
      <c r="S11" s="59">
        <v>1143</v>
      </c>
      <c r="T11" s="70">
        <v>0.82549600000000001</v>
      </c>
      <c r="U11" s="59">
        <v>5098</v>
      </c>
      <c r="V11" s="59">
        <v>1083</v>
      </c>
      <c r="W11" s="70">
        <v>0.82478499999999999</v>
      </c>
      <c r="X11" s="59">
        <v>4603</v>
      </c>
      <c r="Y11" s="59">
        <v>972</v>
      </c>
      <c r="Z11" s="70">
        <v>0.82565</v>
      </c>
      <c r="AA11" s="59">
        <v>4002</v>
      </c>
      <c r="AB11" s="59">
        <v>832</v>
      </c>
      <c r="AC11" s="70">
        <v>0.82788499999999998</v>
      </c>
      <c r="AD11" s="59">
        <v>3848</v>
      </c>
      <c r="AE11" s="59">
        <v>798</v>
      </c>
      <c r="AF11" s="70">
        <v>0.82823899999999995</v>
      </c>
    </row>
    <row r="12" spans="2:32" x14ac:dyDescent="0.2">
      <c r="B12" s="69" t="s">
        <v>19</v>
      </c>
      <c r="C12" s="59">
        <v>13324</v>
      </c>
      <c r="D12" s="59">
        <v>1802</v>
      </c>
      <c r="E12" s="70">
        <v>0.88086699999999996</v>
      </c>
      <c r="F12" s="59">
        <v>13246</v>
      </c>
      <c r="G12" s="59">
        <v>1886</v>
      </c>
      <c r="H12" s="70">
        <v>0.875363</v>
      </c>
      <c r="I12" s="59">
        <v>13529</v>
      </c>
      <c r="J12" s="59">
        <v>2067</v>
      </c>
      <c r="K12" s="70">
        <v>0.86746599999999996</v>
      </c>
      <c r="L12" s="59">
        <v>12828</v>
      </c>
      <c r="M12" s="59">
        <v>2097</v>
      </c>
      <c r="N12" s="70">
        <v>0.85949699999999996</v>
      </c>
      <c r="O12" s="59">
        <v>12587</v>
      </c>
      <c r="P12" s="59">
        <v>1984</v>
      </c>
      <c r="Q12" s="70">
        <v>0.86383900000000002</v>
      </c>
      <c r="R12" s="59">
        <v>12089</v>
      </c>
      <c r="S12" s="59">
        <v>1946</v>
      </c>
      <c r="T12" s="70">
        <v>0.86134599999999995</v>
      </c>
      <c r="U12" s="59">
        <v>11318</v>
      </c>
      <c r="V12" s="59">
        <v>1796</v>
      </c>
      <c r="W12" s="70">
        <v>0.86304700000000001</v>
      </c>
      <c r="X12" s="59">
        <v>10914</v>
      </c>
      <c r="Y12" s="59">
        <v>1648</v>
      </c>
      <c r="Z12" s="70">
        <v>0.86880999999999997</v>
      </c>
      <c r="AA12" s="59">
        <v>10100</v>
      </c>
      <c r="AB12" s="59">
        <v>1481</v>
      </c>
      <c r="AC12" s="70">
        <v>0.87211799999999995</v>
      </c>
      <c r="AD12" s="59">
        <v>9336</v>
      </c>
      <c r="AE12" s="59">
        <v>1300</v>
      </c>
      <c r="AF12" s="70">
        <v>0.87777300000000003</v>
      </c>
    </row>
    <row r="13" spans="2:32" x14ac:dyDescent="0.2">
      <c r="B13" s="69" t="s">
        <v>20</v>
      </c>
      <c r="C13" s="59">
        <v>9593</v>
      </c>
      <c r="D13" s="59">
        <v>1114</v>
      </c>
      <c r="E13" s="70">
        <v>0.89595499999999995</v>
      </c>
      <c r="F13" s="59">
        <v>9204</v>
      </c>
      <c r="G13" s="59">
        <v>1079</v>
      </c>
      <c r="H13" s="70">
        <v>0.895069</v>
      </c>
      <c r="I13" s="59">
        <v>8731</v>
      </c>
      <c r="J13" s="59">
        <v>1073</v>
      </c>
      <c r="K13" s="70">
        <v>0.89055399999999996</v>
      </c>
      <c r="L13" s="59">
        <v>8451</v>
      </c>
      <c r="M13" s="59">
        <v>1062</v>
      </c>
      <c r="N13" s="70">
        <v>0.88836300000000001</v>
      </c>
      <c r="O13" s="59">
        <v>8182</v>
      </c>
      <c r="P13" s="59">
        <v>1036</v>
      </c>
      <c r="Q13" s="70">
        <v>0.88761100000000004</v>
      </c>
      <c r="R13" s="59">
        <v>7969</v>
      </c>
      <c r="S13" s="59">
        <v>1031</v>
      </c>
      <c r="T13" s="70">
        <v>0.88544400000000001</v>
      </c>
      <c r="U13" s="59">
        <v>7526</v>
      </c>
      <c r="V13" s="59">
        <v>987</v>
      </c>
      <c r="W13" s="70">
        <v>0.88405900000000004</v>
      </c>
      <c r="X13" s="59">
        <v>7339</v>
      </c>
      <c r="Y13" s="59">
        <v>990</v>
      </c>
      <c r="Z13" s="70">
        <v>0.88113799999999998</v>
      </c>
      <c r="AA13" s="59">
        <v>7314</v>
      </c>
      <c r="AB13" s="59">
        <v>995</v>
      </c>
      <c r="AC13" s="70">
        <v>0.88024999999999998</v>
      </c>
      <c r="AD13" s="59">
        <v>7186</v>
      </c>
      <c r="AE13" s="59">
        <v>1013</v>
      </c>
      <c r="AF13" s="70">
        <v>0.876448</v>
      </c>
    </row>
    <row r="14" spans="2:32" x14ac:dyDescent="0.2">
      <c r="B14" s="69" t="s">
        <v>21</v>
      </c>
      <c r="C14" s="59">
        <v>4935</v>
      </c>
      <c r="D14" s="59">
        <v>516</v>
      </c>
      <c r="E14" s="70">
        <v>0.90533799999999998</v>
      </c>
      <c r="F14" s="59">
        <v>4901</v>
      </c>
      <c r="G14" s="59">
        <v>465</v>
      </c>
      <c r="H14" s="70">
        <v>0.91334300000000002</v>
      </c>
      <c r="I14" s="59">
        <v>4907</v>
      </c>
      <c r="J14" s="59">
        <v>421</v>
      </c>
      <c r="K14" s="70">
        <v>0.920983</v>
      </c>
      <c r="L14" s="59">
        <v>4890</v>
      </c>
      <c r="M14" s="59">
        <v>370</v>
      </c>
      <c r="N14" s="70">
        <v>0.92965699999999996</v>
      </c>
      <c r="O14" s="59">
        <v>4569</v>
      </c>
      <c r="P14" s="59">
        <v>348</v>
      </c>
      <c r="Q14" s="70">
        <v>0.92922499999999997</v>
      </c>
      <c r="R14" s="59">
        <v>4318</v>
      </c>
      <c r="S14" s="59">
        <v>289</v>
      </c>
      <c r="T14" s="70">
        <v>0.93726900000000002</v>
      </c>
      <c r="U14" s="59">
        <v>3950</v>
      </c>
      <c r="V14" s="59">
        <v>270</v>
      </c>
      <c r="W14" s="70">
        <v>0.93601800000000002</v>
      </c>
      <c r="X14" s="59">
        <v>3581</v>
      </c>
      <c r="Y14" s="59">
        <v>246</v>
      </c>
      <c r="Z14" s="70">
        <v>0.93571899999999997</v>
      </c>
      <c r="AA14" s="59">
        <v>3206</v>
      </c>
      <c r="AB14" s="59">
        <v>219</v>
      </c>
      <c r="AC14" s="70">
        <v>0.93605799999999995</v>
      </c>
      <c r="AD14" s="59">
        <v>2934</v>
      </c>
      <c r="AE14" s="59">
        <v>228</v>
      </c>
      <c r="AF14" s="70">
        <v>0.92789299999999997</v>
      </c>
    </row>
    <row r="15" spans="2:32" x14ac:dyDescent="0.2">
      <c r="B15" s="69" t="s">
        <v>22</v>
      </c>
      <c r="C15" s="59">
        <v>2634</v>
      </c>
      <c r="D15" s="59">
        <v>777</v>
      </c>
      <c r="E15" s="70">
        <v>0.77220699999999998</v>
      </c>
      <c r="F15" s="59">
        <v>2577</v>
      </c>
      <c r="G15" s="59">
        <v>698</v>
      </c>
      <c r="H15" s="70">
        <v>0.78686999999999996</v>
      </c>
      <c r="I15" s="59">
        <v>2432</v>
      </c>
      <c r="J15" s="59">
        <v>699</v>
      </c>
      <c r="K15" s="70">
        <v>0.77674799999999999</v>
      </c>
      <c r="L15" s="59">
        <v>2309</v>
      </c>
      <c r="M15" s="59">
        <v>661</v>
      </c>
      <c r="N15" s="70">
        <v>0.77744100000000005</v>
      </c>
      <c r="O15" s="59">
        <v>2253</v>
      </c>
      <c r="P15" s="59">
        <v>499</v>
      </c>
      <c r="Q15" s="70">
        <v>0.81867699999999999</v>
      </c>
      <c r="R15" s="59">
        <v>1972</v>
      </c>
      <c r="S15" s="59">
        <v>417</v>
      </c>
      <c r="T15" s="70">
        <v>0.82544899999999999</v>
      </c>
      <c r="U15" s="59">
        <v>1810</v>
      </c>
      <c r="V15" s="59">
        <v>397</v>
      </c>
      <c r="W15" s="70">
        <v>0.82011699999999998</v>
      </c>
      <c r="X15" s="59">
        <v>1598</v>
      </c>
      <c r="Y15" s="59">
        <v>324</v>
      </c>
      <c r="Z15" s="70">
        <v>0.83142499999999997</v>
      </c>
      <c r="AA15" s="59">
        <v>1375</v>
      </c>
      <c r="AB15" s="59">
        <v>275</v>
      </c>
      <c r="AC15" s="70">
        <v>0.83333299999999999</v>
      </c>
      <c r="AD15" s="59">
        <v>1382</v>
      </c>
      <c r="AE15" s="59">
        <v>301</v>
      </c>
      <c r="AF15" s="70">
        <v>0.82115199999999999</v>
      </c>
    </row>
    <row r="16" spans="2:32" x14ac:dyDescent="0.2">
      <c r="B16" s="69" t="s">
        <v>23</v>
      </c>
      <c r="C16" s="59">
        <v>8334</v>
      </c>
      <c r="D16" s="59">
        <v>395</v>
      </c>
      <c r="E16" s="70">
        <v>0.95474800000000004</v>
      </c>
      <c r="F16" s="59">
        <v>8341</v>
      </c>
      <c r="G16" s="59">
        <v>384</v>
      </c>
      <c r="H16" s="70">
        <v>0.95598799999999995</v>
      </c>
      <c r="I16" s="59">
        <v>7973</v>
      </c>
      <c r="J16" s="59">
        <v>395</v>
      </c>
      <c r="K16" s="70">
        <v>0.95279599999999998</v>
      </c>
      <c r="L16" s="59">
        <v>7856</v>
      </c>
      <c r="M16" s="59">
        <v>423</v>
      </c>
      <c r="N16" s="70">
        <v>0.94890600000000003</v>
      </c>
      <c r="O16" s="59">
        <v>7621</v>
      </c>
      <c r="P16" s="59">
        <v>426</v>
      </c>
      <c r="Q16" s="70">
        <v>0.94706100000000004</v>
      </c>
      <c r="R16" s="59">
        <v>7535</v>
      </c>
      <c r="S16" s="59">
        <v>453</v>
      </c>
      <c r="T16" s="70">
        <v>0.94328900000000004</v>
      </c>
      <c r="U16" s="59">
        <v>7413</v>
      </c>
      <c r="V16" s="59">
        <v>514</v>
      </c>
      <c r="W16" s="70">
        <v>0.93515800000000004</v>
      </c>
      <c r="X16" s="59">
        <v>7205</v>
      </c>
      <c r="Y16" s="59">
        <v>543</v>
      </c>
      <c r="Z16" s="70">
        <v>0.92991699999999999</v>
      </c>
      <c r="AA16" s="59">
        <v>7167</v>
      </c>
      <c r="AB16" s="59">
        <v>614</v>
      </c>
      <c r="AC16" s="70">
        <v>0.92108900000000005</v>
      </c>
      <c r="AD16" s="59">
        <v>7173</v>
      </c>
      <c r="AE16" s="59">
        <v>644</v>
      </c>
      <c r="AF16" s="70">
        <v>0.91761499999999996</v>
      </c>
    </row>
    <row r="17" spans="2:32" x14ac:dyDescent="0.2">
      <c r="B17" s="69" t="s">
        <v>24</v>
      </c>
      <c r="C17" s="59">
        <v>7829</v>
      </c>
      <c r="D17" s="59">
        <v>497</v>
      </c>
      <c r="E17" s="70">
        <v>0.940307</v>
      </c>
      <c r="F17" s="59">
        <v>7663</v>
      </c>
      <c r="G17" s="59">
        <v>520</v>
      </c>
      <c r="H17" s="70">
        <v>0.93645299999999998</v>
      </c>
      <c r="I17" s="59">
        <v>7195</v>
      </c>
      <c r="J17" s="59">
        <v>529</v>
      </c>
      <c r="K17" s="70">
        <v>0.93151200000000001</v>
      </c>
      <c r="L17" s="59">
        <v>6957</v>
      </c>
      <c r="M17" s="59">
        <v>591</v>
      </c>
      <c r="N17" s="70">
        <v>0.92170099999999999</v>
      </c>
      <c r="O17" s="59">
        <v>6726</v>
      </c>
      <c r="P17" s="59">
        <v>629</v>
      </c>
      <c r="Q17" s="70">
        <v>0.91447900000000004</v>
      </c>
      <c r="R17" s="59">
        <v>6464</v>
      </c>
      <c r="S17" s="59">
        <v>594</v>
      </c>
      <c r="T17" s="70">
        <v>0.91583999999999999</v>
      </c>
      <c r="U17" s="59">
        <v>6350</v>
      </c>
      <c r="V17" s="59">
        <v>639</v>
      </c>
      <c r="W17" s="70">
        <v>0.90856999999999999</v>
      </c>
      <c r="X17" s="59">
        <v>6032</v>
      </c>
      <c r="Y17" s="59">
        <v>549</v>
      </c>
      <c r="Z17" s="70">
        <v>0.916578</v>
      </c>
      <c r="AA17" s="59">
        <v>5920</v>
      </c>
      <c r="AB17" s="59">
        <v>488</v>
      </c>
      <c r="AC17" s="70">
        <v>0.92384500000000003</v>
      </c>
      <c r="AD17" s="59">
        <v>5636</v>
      </c>
      <c r="AE17" s="59">
        <v>460</v>
      </c>
      <c r="AF17" s="70">
        <v>0.92454000000000003</v>
      </c>
    </row>
    <row r="18" spans="2:32" x14ac:dyDescent="0.2">
      <c r="B18" s="69" t="s">
        <v>25</v>
      </c>
      <c r="C18" s="59">
        <v>7911</v>
      </c>
      <c r="D18" s="59">
        <v>941</v>
      </c>
      <c r="E18" s="70">
        <v>0.89369600000000005</v>
      </c>
      <c r="F18" s="59">
        <v>7759</v>
      </c>
      <c r="G18" s="59">
        <v>953</v>
      </c>
      <c r="H18" s="70">
        <v>0.89061000000000001</v>
      </c>
      <c r="I18" s="59">
        <v>7574</v>
      </c>
      <c r="J18" s="59">
        <v>985</v>
      </c>
      <c r="K18" s="70">
        <v>0.88491600000000004</v>
      </c>
      <c r="L18" s="59">
        <v>7367</v>
      </c>
      <c r="M18" s="59">
        <v>980</v>
      </c>
      <c r="N18" s="70">
        <v>0.88259200000000004</v>
      </c>
      <c r="O18" s="59">
        <v>7492</v>
      </c>
      <c r="P18" s="59">
        <v>1003</v>
      </c>
      <c r="Q18" s="70">
        <v>0.88192999999999999</v>
      </c>
      <c r="R18" s="59">
        <v>7580</v>
      </c>
      <c r="S18" s="59">
        <v>1048</v>
      </c>
      <c r="T18" s="70">
        <v>0.87853499999999995</v>
      </c>
      <c r="U18" s="59">
        <v>7859</v>
      </c>
      <c r="V18" s="59">
        <v>1022</v>
      </c>
      <c r="W18" s="70">
        <v>0.88492199999999999</v>
      </c>
      <c r="X18" s="59">
        <v>7904</v>
      </c>
      <c r="Y18" s="59">
        <v>991</v>
      </c>
      <c r="Z18" s="70">
        <v>0.88858899999999996</v>
      </c>
      <c r="AA18" s="59">
        <v>7857</v>
      </c>
      <c r="AB18" s="59">
        <v>967</v>
      </c>
      <c r="AC18" s="70">
        <v>0.89041199999999998</v>
      </c>
      <c r="AD18" s="59">
        <v>7923</v>
      </c>
      <c r="AE18" s="59">
        <v>883</v>
      </c>
      <c r="AF18" s="70">
        <v>0.89972700000000005</v>
      </c>
    </row>
    <row r="19" spans="2:32" x14ac:dyDescent="0.2">
      <c r="B19" s="71" t="s">
        <v>26</v>
      </c>
      <c r="C19" s="62">
        <v>12798</v>
      </c>
      <c r="D19" s="62">
        <v>1692</v>
      </c>
      <c r="E19" s="72">
        <v>0.88322900000000004</v>
      </c>
      <c r="F19" s="62">
        <v>13328</v>
      </c>
      <c r="G19" s="62">
        <v>1772</v>
      </c>
      <c r="H19" s="72">
        <v>0.88264900000000002</v>
      </c>
      <c r="I19" s="62">
        <v>13562</v>
      </c>
      <c r="J19" s="62">
        <v>1849</v>
      </c>
      <c r="K19" s="72">
        <v>0.88002000000000002</v>
      </c>
      <c r="L19" s="62">
        <v>13790</v>
      </c>
      <c r="M19" s="62">
        <v>2055</v>
      </c>
      <c r="N19" s="72">
        <v>0.87030600000000002</v>
      </c>
      <c r="O19" s="62">
        <v>14080</v>
      </c>
      <c r="P19" s="62">
        <v>2006</v>
      </c>
      <c r="Q19" s="72">
        <v>0.87529500000000005</v>
      </c>
      <c r="R19" s="62">
        <v>14560</v>
      </c>
      <c r="S19" s="62">
        <v>2046</v>
      </c>
      <c r="T19" s="72">
        <v>0.87679099999999999</v>
      </c>
      <c r="U19" s="62">
        <v>15032</v>
      </c>
      <c r="V19" s="62">
        <v>1974</v>
      </c>
      <c r="W19" s="72">
        <v>0.88392300000000001</v>
      </c>
      <c r="X19" s="62">
        <v>15384</v>
      </c>
      <c r="Y19" s="62">
        <v>1952</v>
      </c>
      <c r="Z19" s="72">
        <v>0.887401</v>
      </c>
      <c r="AA19" s="62">
        <v>15626</v>
      </c>
      <c r="AB19" s="62">
        <v>1926</v>
      </c>
      <c r="AC19" s="72">
        <v>0.89026799999999995</v>
      </c>
      <c r="AD19" s="62">
        <v>15846</v>
      </c>
      <c r="AE19" s="62">
        <v>1845</v>
      </c>
      <c r="AF19" s="72">
        <v>0.89570899999999998</v>
      </c>
    </row>
    <row r="20" spans="2:32" x14ac:dyDescent="0.2">
      <c r="B20" s="20" t="s">
        <v>27</v>
      </c>
      <c r="C20" s="21">
        <f>SUBTOTAL(109,'Enrollment By Residency'!$C$6:$C$19)</f>
        <v>105558</v>
      </c>
      <c r="D20" s="21">
        <f>SUBTOTAL(109,'Enrollment By Residency'!$D$6:$D$19)</f>
        <v>13955</v>
      </c>
      <c r="E20" s="22">
        <f>'Enrollment By Residency'!$C$20 / ('Enrollment By Residency'!$D$20 + 'Enrollment By Residency'!$C$20)</f>
        <v>0.88323445984955606</v>
      </c>
      <c r="F20" s="21">
        <f>SUBTOTAL(109,'Enrollment By Residency'!$F$6:$F$19)</f>
        <v>104030</v>
      </c>
      <c r="G20" s="21">
        <f>SUBTOTAL(109,'Enrollment By Residency'!$G$6:$G$19)</f>
        <v>14194</v>
      </c>
      <c r="H20" s="22">
        <f>'Enrollment By Residency'!$F$20 / ('Enrollment By Residency'!$G$20 + 'Enrollment By Residency'!$F$20)</f>
        <v>0.87993977534172418</v>
      </c>
      <c r="I20" s="21">
        <f>SUBTOTAL(109,'Enrollment By Residency'!$I$6:$I$19)</f>
        <v>100513</v>
      </c>
      <c r="J20" s="21">
        <f>SUBTOTAL(109,'Enrollment By Residency'!$J$6:$J$19)</f>
        <v>14175</v>
      </c>
      <c r="K20" s="22">
        <f>'Enrollment By Residency'!$I$20 /('Enrollment By Residency'!$I$20 + 'Enrollment By Residency'!$J$20)</f>
        <v>0.87640380859375</v>
      </c>
      <c r="L20" s="21">
        <f>SUBTOTAL(109,'Enrollment By Residency'!$L$6:$L$19)</f>
        <v>97973</v>
      </c>
      <c r="M20" s="21">
        <f>SUBTOTAL(109,'Enrollment By Residency'!$M$6:$M$19)</f>
        <v>14252</v>
      </c>
      <c r="N20" s="22">
        <f>'Enrollment By Residency'!$L$20 / ('Enrollment By Residency'!$M$20 + 'Enrollment By Residency'!$L$20)</f>
        <v>0.8730051236355536</v>
      </c>
      <c r="O20" s="21">
        <f>SUBTOTAL(109,'Enrollment By Residency'!$O$6:$O$19)</f>
        <v>95926</v>
      </c>
      <c r="P20" s="21">
        <f>SUBTOTAL(109,'Enrollment By Residency'!$P$6:$P$19)</f>
        <v>13882</v>
      </c>
      <c r="Q20" s="22">
        <f>'Enrollment By Residency'!$O$20 /('Enrollment By Residency'!$P$20 +'Enrollment By Residency'!$O$20)</f>
        <v>0.87357933848171354</v>
      </c>
      <c r="R20" s="21">
        <f>SUBTOTAL(109,'Enrollment By Residency'!$R$6:$R$19)</f>
        <v>93837</v>
      </c>
      <c r="S20" s="21">
        <f>SUBTOTAL(109,'Enrollment By Residency'!$S$6:$S$19)</f>
        <v>13562</v>
      </c>
      <c r="T20" s="22">
        <f>'Enrollment By Residency'!$R$20 / ('Enrollment By Residency'!$S$20 + 'Enrollment By Residency'!$R$20 )</f>
        <v>0.87372321902438566</v>
      </c>
      <c r="U20" s="21">
        <f>SUBTOTAL(109,'Enrollment By Residency'!$U$6:$U$19)</f>
        <v>91895</v>
      </c>
      <c r="V20" s="21">
        <f>SUBTOTAL(109,'Enrollment By Residency'!$V$6:$V$19)</f>
        <v>13154</v>
      </c>
      <c r="W20" s="22">
        <f>'Enrollment By Residency'!$U$20 / ('Enrollment By Residency'!$U$20 + 'Enrollment By Residency'!$V$20)</f>
        <v>0.87478224447638719</v>
      </c>
      <c r="X20" s="21">
        <f>SUBTOTAL(109,'Enrollment By Residency'!$X$6:$X$19)</f>
        <v>89827</v>
      </c>
      <c r="Y20" s="21">
        <f>SUBTOTAL(109,'Enrollment By Residency'!$Y$6:$Y$19)</f>
        <v>12745</v>
      </c>
      <c r="Z20" s="22">
        <f>'Enrollment By Residency'!$X$20 / ( 'Enrollment By Residency'!$X$20 + 'Enrollment By Residency'!$Y$20)</f>
        <v>0.87574581757204695</v>
      </c>
      <c r="AA20" s="21">
        <f>SUBTOTAL(109,'Enrollment By Residency'!$AA$6:$AA$19)</f>
        <v>86541</v>
      </c>
      <c r="AB20" s="21">
        <f>SUBTOTAL(109,'Enrollment By Residency'!$AB$6:$AB$19)</f>
        <v>11822</v>
      </c>
      <c r="AC20" s="22">
        <f>'Enrollment By Residency'!$AA$20 / ('Enrollment By Residency'!$AB$20 + 'Enrollment By Residency'!$AA$20)</f>
        <v>0.87981253113467461</v>
      </c>
      <c r="AD20" s="21">
        <f>SUBTOTAL(109,'Enrollment By Residency'!$AD$6:$AD$19)</f>
        <v>84522</v>
      </c>
      <c r="AE20" s="21">
        <f>SUBTOTAL(109,'Enrollment By Residency'!$AE$6:$AE$19)</f>
        <v>11280</v>
      </c>
      <c r="AF20" s="22">
        <f>'Enrollment By Residency'!$AD$20 / ('Enrollment By Residency'!$AE$20 + 'Enrollment By Residency'!$AD$20)</f>
        <v>0.88225715538297744</v>
      </c>
    </row>
    <row r="23" spans="2:32" ht="15" x14ac:dyDescent="0.2">
      <c r="B23" s="131" t="s">
        <v>129</v>
      </c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</row>
    <row r="24" spans="2:32" x14ac:dyDescent="0.2">
      <c r="B24" s="134" t="s">
        <v>1</v>
      </c>
      <c r="C24" s="133" t="str">
        <f>CONCATENATE(IF(RIGHT(Parameters!B1,1) = "1","Fall ", "Spring "),IF(RIGHT(Parameters!B1,1) = "1",LEFT(Parameters!B1,4) -9, LEFT(Parameters!B1,4) - 8))</f>
        <v>Fall 2010</v>
      </c>
      <c r="D24" s="133"/>
      <c r="E24" s="133"/>
      <c r="F24" s="133" t="str">
        <f>CONCATENATE(IF(RIGHT(Parameters!B1,1) = "1","Fall ", "Spring "),IF(RIGHT(Parameters!B1,1) = "1",LEFT(Parameters!B1,4) -8, LEFT(Parameters!B1,4) - 7))</f>
        <v>Fall 2011</v>
      </c>
      <c r="G24" s="133"/>
      <c r="H24" s="133"/>
      <c r="I24" s="133" t="str">
        <f>CONCATENATE(IF(RIGHT(Parameters!B1,1) = "1","Fall ", "Spring "),IF(RIGHT(Parameters!B1,1) = "1",LEFT(Parameters!B1,4) -7, LEFT(Parameters!B1,4) - 6))</f>
        <v>Fall 2012</v>
      </c>
      <c r="J24" s="133"/>
      <c r="K24" s="133"/>
      <c r="L24" s="133" t="str">
        <f>CONCATENATE(IF(RIGHT(Parameters!B1,1) = "1","Fall ", "Spring "),IF(RIGHT(Parameters!B1,1) = "1",LEFT(Parameters!B1,4) -6, LEFT(Parameters!B1,4) - 5))</f>
        <v>Fall 2013</v>
      </c>
      <c r="M24" s="133"/>
      <c r="N24" s="133"/>
      <c r="O24" s="133" t="str">
        <f>CONCATENATE(IF(RIGHT(Parameters!B1,1) = "1","Fall ", "Spring "),IF(RIGHT(Parameters!B1,1) = "1",LEFT(Parameters!B1,4) -5, LEFT(Parameters!B1,4) - 4))</f>
        <v>Fall 2014</v>
      </c>
      <c r="P24" s="133"/>
      <c r="Q24" s="133"/>
      <c r="R24" s="133" t="str">
        <f>CONCATENATE(IF(RIGHT(Parameters!B1,1) = "1","Fall ", "Spring "),IF(RIGHT(Parameters!B1,1) = "1",LEFT(Parameters!B1,4) -4, LEFT(Parameters!B1,4) - 3))</f>
        <v>Fall 2015</v>
      </c>
      <c r="S24" s="133"/>
      <c r="T24" s="133"/>
      <c r="U24" s="133" t="str">
        <f>CONCATENATE(IF(RIGHT(Parameters!B1,1) = "1","Fall ", "Spring "),IF(RIGHT(Parameters!B1,1) = "1",LEFT(Parameters!B1,4) -3, LEFT(Parameters!B1,4) -2 ))</f>
        <v>Fall 2016</v>
      </c>
      <c r="V24" s="133"/>
      <c r="W24" s="133"/>
      <c r="X24" s="133" t="str">
        <f>CONCATENATE(IF(RIGHT(Parameters!B1,1) = "1","Fall ", "Spring "),IF(RIGHT(Parameters!B1,1) = "1",LEFT(Parameters!B1,4) -2, LEFT(Parameters!B1,4) -1 ))</f>
        <v>Fall 2017</v>
      </c>
      <c r="Y24" s="133"/>
      <c r="Z24" s="133"/>
      <c r="AA24" s="133" t="str">
        <f>CONCATENATE(IF(RIGHT(Parameters!B1,1) = "1","Fall ", "Spring "),IF(RIGHT(Parameters!B1,1) = "1",LEFT(Parameters!B1,4) -1, LEFT(Parameters!B1,4)  ))</f>
        <v>Fall 2018</v>
      </c>
      <c r="AB24" s="133"/>
      <c r="AC24" s="133"/>
      <c r="AD24" s="133" t="str">
        <f>CONCATENATE(IF(RIGHT(Parameters!B1,1) = "1","Fall ", "Spring "),IF(RIGHT(Parameters!B1,1) = "1",LEFT(Parameters!B1,4), LEFT(Parameters!B1,4) + 1))</f>
        <v>Fall 2019</v>
      </c>
      <c r="AE24" s="133"/>
      <c r="AF24" s="133"/>
    </row>
    <row r="25" spans="2:32" ht="28.5" customHeight="1" x14ac:dyDescent="0.2">
      <c r="B25" s="135"/>
      <c r="C25" s="54" t="s">
        <v>126</v>
      </c>
      <c r="D25" s="54" t="s">
        <v>127</v>
      </c>
      <c r="E25" s="54" t="s">
        <v>128</v>
      </c>
      <c r="F25" s="54" t="s">
        <v>126</v>
      </c>
      <c r="G25" s="54" t="s">
        <v>127</v>
      </c>
      <c r="H25" s="54" t="s">
        <v>128</v>
      </c>
      <c r="I25" s="54" t="s">
        <v>126</v>
      </c>
      <c r="J25" s="54" t="s">
        <v>127</v>
      </c>
      <c r="K25" s="54" t="s">
        <v>128</v>
      </c>
      <c r="L25" s="54" t="s">
        <v>126</v>
      </c>
      <c r="M25" s="54" t="s">
        <v>127</v>
      </c>
      <c r="N25" s="54" t="s">
        <v>128</v>
      </c>
      <c r="O25" s="54" t="s">
        <v>126</v>
      </c>
      <c r="P25" s="54" t="s">
        <v>127</v>
      </c>
      <c r="Q25" s="54" t="s">
        <v>128</v>
      </c>
      <c r="R25" s="54" t="s">
        <v>126</v>
      </c>
      <c r="S25" s="54" t="s">
        <v>127</v>
      </c>
      <c r="T25" s="54" t="s">
        <v>128</v>
      </c>
      <c r="U25" s="54" t="s">
        <v>126</v>
      </c>
      <c r="V25" s="54" t="s">
        <v>127</v>
      </c>
      <c r="W25" s="54" t="s">
        <v>128</v>
      </c>
      <c r="X25" s="54" t="s">
        <v>126</v>
      </c>
      <c r="Y25" s="54" t="s">
        <v>127</v>
      </c>
      <c r="Z25" s="54" t="s">
        <v>128</v>
      </c>
      <c r="AA25" s="54" t="s">
        <v>126</v>
      </c>
      <c r="AB25" s="54" t="s">
        <v>127</v>
      </c>
      <c r="AC25" s="54" t="s">
        <v>128</v>
      </c>
      <c r="AD25" s="54" t="s">
        <v>126</v>
      </c>
      <c r="AE25" s="54" t="s">
        <v>127</v>
      </c>
      <c r="AF25" s="54" t="s">
        <v>128</v>
      </c>
    </row>
    <row r="26" spans="2:32" ht="17.25" hidden="1" customHeight="1" thickBot="1" x14ac:dyDescent="0.25">
      <c r="B26" s="26" t="s">
        <v>2</v>
      </c>
      <c r="C26" s="26" t="s">
        <v>84</v>
      </c>
      <c r="D26" s="26" t="s">
        <v>85</v>
      </c>
      <c r="E26" s="26" t="s">
        <v>86</v>
      </c>
      <c r="F26" s="26" t="s">
        <v>87</v>
      </c>
      <c r="G26" s="26" t="s">
        <v>88</v>
      </c>
      <c r="H26" s="26" t="s">
        <v>89</v>
      </c>
      <c r="I26" s="26" t="s">
        <v>90</v>
      </c>
      <c r="J26" s="26" t="s">
        <v>91</v>
      </c>
      <c r="K26" s="26" t="s">
        <v>92</v>
      </c>
      <c r="L26" s="26" t="s">
        <v>93</v>
      </c>
      <c r="M26" s="26" t="s">
        <v>94</v>
      </c>
      <c r="N26" s="26" t="s">
        <v>95</v>
      </c>
      <c r="O26" s="26" t="s">
        <v>96</v>
      </c>
      <c r="P26" s="26" t="s">
        <v>97</v>
      </c>
      <c r="Q26" s="26" t="s">
        <v>98</v>
      </c>
      <c r="R26" s="26" t="s">
        <v>99</v>
      </c>
      <c r="S26" s="26" t="s">
        <v>100</v>
      </c>
      <c r="T26" s="26" t="s">
        <v>101</v>
      </c>
      <c r="U26" s="26" t="s">
        <v>102</v>
      </c>
      <c r="V26" s="26" t="s">
        <v>103</v>
      </c>
      <c r="W26" s="26" t="s">
        <v>104</v>
      </c>
      <c r="X26" s="26" t="s">
        <v>105</v>
      </c>
      <c r="Y26" s="26" t="s">
        <v>106</v>
      </c>
      <c r="Z26" s="26" t="s">
        <v>107</v>
      </c>
      <c r="AA26" s="26" t="s">
        <v>108</v>
      </c>
      <c r="AB26" s="26" t="s">
        <v>109</v>
      </c>
      <c r="AC26" s="26" t="s">
        <v>110</v>
      </c>
      <c r="AD26" s="26" t="s">
        <v>111</v>
      </c>
      <c r="AE26" s="26" t="s">
        <v>112</v>
      </c>
      <c r="AF26" s="26" t="s">
        <v>113</v>
      </c>
    </row>
    <row r="27" spans="2:32" x14ac:dyDescent="0.2">
      <c r="B27" s="67" t="s">
        <v>13</v>
      </c>
      <c r="C27" s="57">
        <v>8085</v>
      </c>
      <c r="D27" s="57">
        <v>1051</v>
      </c>
      <c r="E27" s="68">
        <v>0.88495999999999997</v>
      </c>
      <c r="F27" s="57">
        <v>8112</v>
      </c>
      <c r="G27" s="57">
        <v>1144</v>
      </c>
      <c r="H27" s="68">
        <v>0.87640399999999996</v>
      </c>
      <c r="I27" s="57">
        <v>8067</v>
      </c>
      <c r="J27" s="57">
        <v>1136</v>
      </c>
      <c r="K27" s="68">
        <v>0.87656100000000003</v>
      </c>
      <c r="L27" s="57">
        <v>8313</v>
      </c>
      <c r="M27" s="57">
        <v>1103</v>
      </c>
      <c r="N27" s="68">
        <v>0.88285800000000003</v>
      </c>
      <c r="O27" s="57">
        <v>8307</v>
      </c>
      <c r="P27" s="57">
        <v>1012</v>
      </c>
      <c r="Q27" s="68">
        <v>0.89140399999999997</v>
      </c>
      <c r="R27" s="57">
        <v>8186</v>
      </c>
      <c r="S27" s="57">
        <v>972</v>
      </c>
      <c r="T27" s="68">
        <v>0.89386299999999996</v>
      </c>
      <c r="U27" s="57">
        <v>8149</v>
      </c>
      <c r="V27" s="57">
        <v>846</v>
      </c>
      <c r="W27" s="68">
        <v>0.90594699999999995</v>
      </c>
      <c r="X27" s="57">
        <v>7811</v>
      </c>
      <c r="Y27" s="57">
        <v>795</v>
      </c>
      <c r="Z27" s="68">
        <v>0.90762200000000004</v>
      </c>
      <c r="AA27" s="57">
        <v>7549</v>
      </c>
      <c r="AB27" s="57">
        <v>704</v>
      </c>
      <c r="AC27" s="68">
        <v>0.91469699999999998</v>
      </c>
      <c r="AD27" s="57">
        <v>7328</v>
      </c>
      <c r="AE27" s="57">
        <v>664</v>
      </c>
      <c r="AF27" s="68">
        <v>0.91691599999999995</v>
      </c>
    </row>
    <row r="28" spans="2:32" x14ac:dyDescent="0.2">
      <c r="B28" s="69" t="s">
        <v>14</v>
      </c>
      <c r="C28" s="59">
        <v>6681</v>
      </c>
      <c r="D28" s="59">
        <v>738</v>
      </c>
      <c r="E28" s="70">
        <v>0.90052500000000002</v>
      </c>
      <c r="F28" s="59">
        <v>6651</v>
      </c>
      <c r="G28" s="59">
        <v>766</v>
      </c>
      <c r="H28" s="70">
        <v>0.89672300000000005</v>
      </c>
      <c r="I28" s="59">
        <v>5986</v>
      </c>
      <c r="J28" s="59">
        <v>695</v>
      </c>
      <c r="K28" s="70">
        <v>0.89597300000000002</v>
      </c>
      <c r="L28" s="59">
        <v>5759</v>
      </c>
      <c r="M28" s="59">
        <v>691</v>
      </c>
      <c r="N28" s="70">
        <v>0.89286799999999999</v>
      </c>
      <c r="O28" s="59">
        <v>5432</v>
      </c>
      <c r="P28" s="59">
        <v>644</v>
      </c>
      <c r="Q28" s="70">
        <v>0.89400900000000005</v>
      </c>
      <c r="R28" s="59">
        <v>5172</v>
      </c>
      <c r="S28" s="59">
        <v>613</v>
      </c>
      <c r="T28" s="70">
        <v>0.89403600000000005</v>
      </c>
      <c r="U28" s="59">
        <v>4899</v>
      </c>
      <c r="V28" s="59">
        <v>623</v>
      </c>
      <c r="W28" s="70">
        <v>0.88717800000000002</v>
      </c>
      <c r="X28" s="59">
        <v>4918</v>
      </c>
      <c r="Y28" s="59">
        <v>639</v>
      </c>
      <c r="Z28" s="70">
        <v>0.88500900000000005</v>
      </c>
      <c r="AA28" s="59">
        <v>4593</v>
      </c>
      <c r="AB28" s="59">
        <v>581</v>
      </c>
      <c r="AC28" s="70">
        <v>0.88770700000000002</v>
      </c>
      <c r="AD28" s="59">
        <v>4319</v>
      </c>
      <c r="AE28" s="59">
        <v>537</v>
      </c>
      <c r="AF28" s="70">
        <v>0.88941499999999996</v>
      </c>
    </row>
    <row r="29" spans="2:32" x14ac:dyDescent="0.2">
      <c r="B29" s="69" t="s">
        <v>15</v>
      </c>
      <c r="C29" s="59">
        <v>1146</v>
      </c>
      <c r="D29" s="59">
        <v>362</v>
      </c>
      <c r="E29" s="70">
        <v>0.75994600000000001</v>
      </c>
      <c r="F29" s="59">
        <v>901</v>
      </c>
      <c r="G29" s="59">
        <v>240</v>
      </c>
      <c r="H29" s="70">
        <v>0.78965799999999997</v>
      </c>
      <c r="I29" s="59">
        <v>965</v>
      </c>
      <c r="J29" s="59">
        <v>259</v>
      </c>
      <c r="K29" s="70">
        <v>0.78839800000000004</v>
      </c>
      <c r="L29" s="59">
        <v>917</v>
      </c>
      <c r="M29" s="59">
        <v>262</v>
      </c>
      <c r="N29" s="70">
        <v>0.77777700000000005</v>
      </c>
      <c r="O29" s="59">
        <v>727</v>
      </c>
      <c r="P29" s="59">
        <v>270</v>
      </c>
      <c r="Q29" s="70">
        <v>0.72918700000000003</v>
      </c>
      <c r="R29" s="59">
        <v>496</v>
      </c>
      <c r="S29" s="59">
        <v>190</v>
      </c>
      <c r="T29" s="70">
        <v>0.72303200000000001</v>
      </c>
      <c r="U29" s="59">
        <v>482</v>
      </c>
      <c r="V29" s="59">
        <v>227</v>
      </c>
      <c r="W29" s="70">
        <v>0.67983000000000005</v>
      </c>
      <c r="X29" s="59">
        <v>486</v>
      </c>
      <c r="Y29" s="59">
        <v>237</v>
      </c>
      <c r="Z29" s="70">
        <v>0.67219899999999999</v>
      </c>
      <c r="AA29" s="59">
        <v>369</v>
      </c>
      <c r="AB29" s="59">
        <v>100</v>
      </c>
      <c r="AC29" s="70">
        <v>0.78678000000000003</v>
      </c>
      <c r="AD29" s="59">
        <v>500</v>
      </c>
      <c r="AE29" s="59">
        <v>118</v>
      </c>
      <c r="AF29" s="70">
        <v>0.80906100000000003</v>
      </c>
    </row>
    <row r="30" spans="2:32" x14ac:dyDescent="0.2">
      <c r="B30" s="69" t="s">
        <v>16</v>
      </c>
      <c r="C30" s="59">
        <v>5878</v>
      </c>
      <c r="D30" s="59">
        <v>347</v>
      </c>
      <c r="E30" s="70">
        <v>0.94425700000000001</v>
      </c>
      <c r="F30" s="59">
        <v>5505</v>
      </c>
      <c r="G30" s="59">
        <v>371</v>
      </c>
      <c r="H30" s="70">
        <v>0.93686100000000005</v>
      </c>
      <c r="I30" s="59">
        <v>5177</v>
      </c>
      <c r="J30" s="59">
        <v>341</v>
      </c>
      <c r="K30" s="70">
        <v>0.93820199999999998</v>
      </c>
      <c r="L30" s="59">
        <v>4829</v>
      </c>
      <c r="M30" s="59">
        <v>370</v>
      </c>
      <c r="N30" s="70">
        <v>0.92883199999999999</v>
      </c>
      <c r="O30" s="59">
        <v>4471</v>
      </c>
      <c r="P30" s="59">
        <v>435</v>
      </c>
      <c r="Q30" s="70">
        <v>0.91133299999999995</v>
      </c>
      <c r="R30" s="59">
        <v>4199</v>
      </c>
      <c r="S30" s="59">
        <v>356</v>
      </c>
      <c r="T30" s="70">
        <v>0.921844</v>
      </c>
      <c r="U30" s="59">
        <v>3963</v>
      </c>
      <c r="V30" s="59">
        <v>367</v>
      </c>
      <c r="W30" s="70">
        <v>0.915242</v>
      </c>
      <c r="X30" s="59">
        <v>3967</v>
      </c>
      <c r="Y30" s="59">
        <v>354</v>
      </c>
      <c r="Z30" s="70">
        <v>0.91807399999999995</v>
      </c>
      <c r="AA30" s="59">
        <v>3628</v>
      </c>
      <c r="AB30" s="59">
        <v>314</v>
      </c>
      <c r="AC30" s="70">
        <v>0.92034499999999997</v>
      </c>
      <c r="AD30" s="59">
        <v>3480</v>
      </c>
      <c r="AE30" s="59">
        <v>296</v>
      </c>
      <c r="AF30" s="70">
        <v>0.92161000000000004</v>
      </c>
    </row>
    <row r="31" spans="2:32" x14ac:dyDescent="0.2">
      <c r="B31" s="69" t="s">
        <v>17</v>
      </c>
      <c r="C31" s="59">
        <v>4737</v>
      </c>
      <c r="D31" s="59">
        <v>1635</v>
      </c>
      <c r="E31" s="70">
        <v>0.74340799999999996</v>
      </c>
      <c r="F31" s="59">
        <v>4956</v>
      </c>
      <c r="G31" s="59">
        <v>1700</v>
      </c>
      <c r="H31" s="70">
        <v>0.744591</v>
      </c>
      <c r="I31" s="59">
        <v>4731</v>
      </c>
      <c r="J31" s="59">
        <v>1624</v>
      </c>
      <c r="K31" s="70">
        <v>0.74445300000000003</v>
      </c>
      <c r="L31" s="59">
        <v>4633</v>
      </c>
      <c r="M31" s="59">
        <v>1553</v>
      </c>
      <c r="N31" s="70">
        <v>0.74894899999999998</v>
      </c>
      <c r="O31" s="59">
        <v>4752</v>
      </c>
      <c r="P31" s="59">
        <v>1452</v>
      </c>
      <c r="Q31" s="70">
        <v>0.765957</v>
      </c>
      <c r="R31" s="59">
        <v>4794</v>
      </c>
      <c r="S31" s="59">
        <v>1373</v>
      </c>
      <c r="T31" s="70">
        <v>0.77736300000000003</v>
      </c>
      <c r="U31" s="59">
        <v>4811</v>
      </c>
      <c r="V31" s="59">
        <v>1348</v>
      </c>
      <c r="W31" s="70">
        <v>0.78113299999999997</v>
      </c>
      <c r="X31" s="59">
        <v>4799</v>
      </c>
      <c r="Y31" s="59">
        <v>1252</v>
      </c>
      <c r="Z31" s="70">
        <v>0.79309200000000002</v>
      </c>
      <c r="AA31" s="59">
        <v>4504</v>
      </c>
      <c r="AB31" s="59">
        <v>1209</v>
      </c>
      <c r="AC31" s="70">
        <v>0.78837699999999999</v>
      </c>
      <c r="AD31" s="59">
        <v>4287</v>
      </c>
      <c r="AE31" s="59">
        <v>1130</v>
      </c>
      <c r="AF31" s="70">
        <v>0.79139700000000002</v>
      </c>
    </row>
    <row r="32" spans="2:32" x14ac:dyDescent="0.2">
      <c r="B32" s="69" t="s">
        <v>18</v>
      </c>
      <c r="C32" s="59">
        <v>5898</v>
      </c>
      <c r="D32" s="59">
        <v>799</v>
      </c>
      <c r="E32" s="70">
        <v>0.88069200000000003</v>
      </c>
      <c r="F32" s="59">
        <v>5758</v>
      </c>
      <c r="G32" s="59">
        <v>891</v>
      </c>
      <c r="H32" s="70">
        <v>0.86599400000000004</v>
      </c>
      <c r="I32" s="59">
        <v>5242</v>
      </c>
      <c r="J32" s="59">
        <v>848</v>
      </c>
      <c r="K32" s="70">
        <v>0.86075500000000005</v>
      </c>
      <c r="L32" s="59">
        <v>5052</v>
      </c>
      <c r="M32" s="59">
        <v>812</v>
      </c>
      <c r="N32" s="70">
        <v>0.86152700000000004</v>
      </c>
      <c r="O32" s="59">
        <v>4816</v>
      </c>
      <c r="P32" s="59">
        <v>779</v>
      </c>
      <c r="Q32" s="70">
        <v>0.86076799999999998</v>
      </c>
      <c r="R32" s="59">
        <v>4427</v>
      </c>
      <c r="S32" s="59">
        <v>820</v>
      </c>
      <c r="T32" s="70">
        <v>0.84372000000000003</v>
      </c>
      <c r="U32" s="59">
        <v>4059</v>
      </c>
      <c r="V32" s="59">
        <v>781</v>
      </c>
      <c r="W32" s="70">
        <v>0.83863600000000005</v>
      </c>
      <c r="X32" s="59">
        <v>3608</v>
      </c>
      <c r="Y32" s="59">
        <v>683</v>
      </c>
      <c r="Z32" s="70">
        <v>0.84082900000000005</v>
      </c>
      <c r="AA32" s="59">
        <v>3037</v>
      </c>
      <c r="AB32" s="59">
        <v>535</v>
      </c>
      <c r="AC32" s="70">
        <v>0.85022299999999995</v>
      </c>
      <c r="AD32" s="59">
        <v>2912</v>
      </c>
      <c r="AE32" s="59">
        <v>487</v>
      </c>
      <c r="AF32" s="70">
        <v>0.85672199999999998</v>
      </c>
    </row>
    <row r="33" spans="2:32" x14ac:dyDescent="0.2">
      <c r="B33" s="69" t="s">
        <v>19</v>
      </c>
      <c r="C33" s="59">
        <v>11738</v>
      </c>
      <c r="D33" s="59">
        <v>1089</v>
      </c>
      <c r="E33" s="70">
        <v>0.91510000000000002</v>
      </c>
      <c r="F33" s="59">
        <v>11736</v>
      </c>
      <c r="G33" s="59">
        <v>1207</v>
      </c>
      <c r="H33" s="70">
        <v>0.90674399999999999</v>
      </c>
      <c r="I33" s="59">
        <v>11902</v>
      </c>
      <c r="J33" s="59">
        <v>1373</v>
      </c>
      <c r="K33" s="70">
        <v>0.89657200000000004</v>
      </c>
      <c r="L33" s="59">
        <v>11362</v>
      </c>
      <c r="M33" s="59">
        <v>1306</v>
      </c>
      <c r="N33" s="70">
        <v>0.89690499999999995</v>
      </c>
      <c r="O33" s="59">
        <v>11108</v>
      </c>
      <c r="P33" s="59">
        <v>1224</v>
      </c>
      <c r="Q33" s="70">
        <v>0.90074600000000005</v>
      </c>
      <c r="R33" s="59">
        <v>10662</v>
      </c>
      <c r="S33" s="59">
        <v>1135</v>
      </c>
      <c r="T33" s="70">
        <v>0.90378899999999995</v>
      </c>
      <c r="U33" s="59">
        <v>9895</v>
      </c>
      <c r="V33" s="59">
        <v>984</v>
      </c>
      <c r="W33" s="70">
        <v>0.90954999999999997</v>
      </c>
      <c r="X33" s="59">
        <v>9484</v>
      </c>
      <c r="Y33" s="59">
        <v>905</v>
      </c>
      <c r="Z33" s="70">
        <v>0.91288800000000003</v>
      </c>
      <c r="AA33" s="59">
        <v>8663</v>
      </c>
      <c r="AB33" s="59">
        <v>808</v>
      </c>
      <c r="AC33" s="70">
        <v>0.914686</v>
      </c>
      <c r="AD33" s="59">
        <v>7929</v>
      </c>
      <c r="AE33" s="59">
        <v>638</v>
      </c>
      <c r="AF33" s="70">
        <v>0.92552800000000002</v>
      </c>
    </row>
    <row r="34" spans="2:32" x14ac:dyDescent="0.2">
      <c r="B34" s="69" t="s">
        <v>20</v>
      </c>
      <c r="C34" s="59">
        <v>8655</v>
      </c>
      <c r="D34" s="59">
        <v>1070</v>
      </c>
      <c r="E34" s="70">
        <v>0.88997400000000004</v>
      </c>
      <c r="F34" s="59">
        <v>8447</v>
      </c>
      <c r="G34" s="59">
        <v>1039</v>
      </c>
      <c r="H34" s="70">
        <v>0.89046999999999998</v>
      </c>
      <c r="I34" s="59">
        <v>8091</v>
      </c>
      <c r="J34" s="59">
        <v>1044</v>
      </c>
      <c r="K34" s="70">
        <v>0.885714</v>
      </c>
      <c r="L34" s="59">
        <v>7785</v>
      </c>
      <c r="M34" s="59">
        <v>1030</v>
      </c>
      <c r="N34" s="70">
        <v>0.88315299999999997</v>
      </c>
      <c r="O34" s="59">
        <v>7559</v>
      </c>
      <c r="P34" s="59">
        <v>1003</v>
      </c>
      <c r="Q34" s="70">
        <v>0.88285400000000003</v>
      </c>
      <c r="R34" s="59">
        <v>7302</v>
      </c>
      <c r="S34" s="59">
        <v>991</v>
      </c>
      <c r="T34" s="70">
        <v>0.88050099999999998</v>
      </c>
      <c r="U34" s="59">
        <v>6775</v>
      </c>
      <c r="V34" s="59">
        <v>943</v>
      </c>
      <c r="W34" s="70">
        <v>0.87781799999999999</v>
      </c>
      <c r="X34" s="59">
        <v>6548</v>
      </c>
      <c r="Y34" s="59">
        <v>941</v>
      </c>
      <c r="Z34" s="70">
        <v>0.87434900000000004</v>
      </c>
      <c r="AA34" s="59">
        <v>6452</v>
      </c>
      <c r="AB34" s="59">
        <v>939</v>
      </c>
      <c r="AC34" s="70">
        <v>0.87295299999999998</v>
      </c>
      <c r="AD34" s="59">
        <v>6255</v>
      </c>
      <c r="AE34" s="59">
        <v>949</v>
      </c>
      <c r="AF34" s="70">
        <v>0.86826700000000001</v>
      </c>
    </row>
    <row r="35" spans="2:32" x14ac:dyDescent="0.2">
      <c r="B35" s="69" t="s">
        <v>21</v>
      </c>
      <c r="C35" s="59">
        <v>4649</v>
      </c>
      <c r="D35" s="59">
        <v>466</v>
      </c>
      <c r="E35" s="70">
        <v>0.90889500000000001</v>
      </c>
      <c r="F35" s="59">
        <v>4608</v>
      </c>
      <c r="G35" s="59">
        <v>421</v>
      </c>
      <c r="H35" s="70">
        <v>0.91628500000000002</v>
      </c>
      <c r="I35" s="59">
        <v>4596</v>
      </c>
      <c r="J35" s="59">
        <v>373</v>
      </c>
      <c r="K35" s="70">
        <v>0.92493400000000003</v>
      </c>
      <c r="L35" s="59">
        <v>4544</v>
      </c>
      <c r="M35" s="59">
        <v>311</v>
      </c>
      <c r="N35" s="70">
        <v>0.93594200000000005</v>
      </c>
      <c r="O35" s="59">
        <v>4231</v>
      </c>
      <c r="P35" s="59">
        <v>290</v>
      </c>
      <c r="Q35" s="70">
        <v>0.93585399999999996</v>
      </c>
      <c r="R35" s="59">
        <v>3973</v>
      </c>
      <c r="S35" s="59">
        <v>247</v>
      </c>
      <c r="T35" s="70">
        <v>0.941469</v>
      </c>
      <c r="U35" s="59">
        <v>3625</v>
      </c>
      <c r="V35" s="59">
        <v>220</v>
      </c>
      <c r="W35" s="70">
        <v>0.94278200000000001</v>
      </c>
      <c r="X35" s="59">
        <v>3282</v>
      </c>
      <c r="Y35" s="59">
        <v>190</v>
      </c>
      <c r="Z35" s="70">
        <v>0.94527600000000001</v>
      </c>
      <c r="AA35" s="59">
        <v>2910</v>
      </c>
      <c r="AB35" s="59">
        <v>157</v>
      </c>
      <c r="AC35" s="70">
        <v>0.94880900000000001</v>
      </c>
      <c r="AD35" s="59">
        <v>2603</v>
      </c>
      <c r="AE35" s="59">
        <v>149</v>
      </c>
      <c r="AF35" s="70">
        <v>0.94585699999999995</v>
      </c>
    </row>
    <row r="36" spans="2:32" x14ac:dyDescent="0.2">
      <c r="B36" s="69" t="s">
        <v>22</v>
      </c>
      <c r="C36" s="59">
        <v>2343</v>
      </c>
      <c r="D36" s="59">
        <v>602</v>
      </c>
      <c r="E36" s="70">
        <v>0.79558499999999999</v>
      </c>
      <c r="F36" s="59">
        <v>2313</v>
      </c>
      <c r="G36" s="59">
        <v>563</v>
      </c>
      <c r="H36" s="70">
        <v>0.80424200000000001</v>
      </c>
      <c r="I36" s="59">
        <v>2238</v>
      </c>
      <c r="J36" s="59">
        <v>586</v>
      </c>
      <c r="K36" s="70">
        <v>0.79249199999999997</v>
      </c>
      <c r="L36" s="59">
        <v>2150</v>
      </c>
      <c r="M36" s="59">
        <v>567</v>
      </c>
      <c r="N36" s="70">
        <v>0.79131300000000004</v>
      </c>
      <c r="O36" s="59">
        <v>2130</v>
      </c>
      <c r="P36" s="59">
        <v>457</v>
      </c>
      <c r="Q36" s="70">
        <v>0.82334700000000005</v>
      </c>
      <c r="R36" s="59">
        <v>1876</v>
      </c>
      <c r="S36" s="59">
        <v>392</v>
      </c>
      <c r="T36" s="70">
        <v>0.82716000000000001</v>
      </c>
      <c r="U36" s="59">
        <v>1742</v>
      </c>
      <c r="V36" s="59">
        <v>379</v>
      </c>
      <c r="W36" s="70">
        <v>0.82130999999999998</v>
      </c>
      <c r="X36" s="59">
        <v>1546</v>
      </c>
      <c r="Y36" s="59">
        <v>315</v>
      </c>
      <c r="Z36" s="70">
        <v>0.83073600000000003</v>
      </c>
      <c r="AA36" s="59">
        <v>1342</v>
      </c>
      <c r="AB36" s="59">
        <v>270</v>
      </c>
      <c r="AC36" s="70">
        <v>0.83250599999999997</v>
      </c>
      <c r="AD36" s="59">
        <v>1362</v>
      </c>
      <c r="AE36" s="59">
        <v>298</v>
      </c>
      <c r="AF36" s="70">
        <v>0.82048100000000002</v>
      </c>
    </row>
    <row r="37" spans="2:32" x14ac:dyDescent="0.2">
      <c r="B37" s="69" t="s">
        <v>23</v>
      </c>
      <c r="C37" s="59">
        <v>7244</v>
      </c>
      <c r="D37" s="59">
        <v>360</v>
      </c>
      <c r="E37" s="70">
        <v>0.95265599999999995</v>
      </c>
      <c r="F37" s="59">
        <v>7292</v>
      </c>
      <c r="G37" s="59">
        <v>352</v>
      </c>
      <c r="H37" s="70">
        <v>0.95394999999999996</v>
      </c>
      <c r="I37" s="59">
        <v>7066</v>
      </c>
      <c r="J37" s="59">
        <v>358</v>
      </c>
      <c r="K37" s="70">
        <v>0.95177800000000001</v>
      </c>
      <c r="L37" s="59">
        <v>7016</v>
      </c>
      <c r="M37" s="59">
        <v>372</v>
      </c>
      <c r="N37" s="70">
        <v>0.94964800000000005</v>
      </c>
      <c r="O37" s="59">
        <v>6798</v>
      </c>
      <c r="P37" s="59">
        <v>373</v>
      </c>
      <c r="Q37" s="70">
        <v>0.94798400000000005</v>
      </c>
      <c r="R37" s="59">
        <v>6693</v>
      </c>
      <c r="S37" s="59">
        <v>391</v>
      </c>
      <c r="T37" s="70">
        <v>0.94480500000000001</v>
      </c>
      <c r="U37" s="59">
        <v>6528</v>
      </c>
      <c r="V37" s="59">
        <v>452</v>
      </c>
      <c r="W37" s="70">
        <v>0.93524300000000005</v>
      </c>
      <c r="X37" s="59">
        <v>6295</v>
      </c>
      <c r="Y37" s="59">
        <v>483</v>
      </c>
      <c r="Z37" s="70">
        <v>0.92874000000000001</v>
      </c>
      <c r="AA37" s="59">
        <v>6226</v>
      </c>
      <c r="AB37" s="59">
        <v>553</v>
      </c>
      <c r="AC37" s="70">
        <v>0.91842400000000002</v>
      </c>
      <c r="AD37" s="59">
        <v>6218</v>
      </c>
      <c r="AE37" s="59">
        <v>576</v>
      </c>
      <c r="AF37" s="70">
        <v>0.915219</v>
      </c>
    </row>
    <row r="38" spans="2:32" x14ac:dyDescent="0.2">
      <c r="B38" s="69" t="s">
        <v>24</v>
      </c>
      <c r="C38" s="59">
        <v>6694</v>
      </c>
      <c r="D38" s="59">
        <v>449</v>
      </c>
      <c r="E38" s="70">
        <v>0.937141</v>
      </c>
      <c r="F38" s="59">
        <v>6671</v>
      </c>
      <c r="G38" s="59">
        <v>461</v>
      </c>
      <c r="H38" s="70">
        <v>0.935361</v>
      </c>
      <c r="I38" s="59">
        <v>6281</v>
      </c>
      <c r="J38" s="59">
        <v>431</v>
      </c>
      <c r="K38" s="70">
        <v>0.93578600000000001</v>
      </c>
      <c r="L38" s="59">
        <v>6064</v>
      </c>
      <c r="M38" s="59">
        <v>486</v>
      </c>
      <c r="N38" s="70">
        <v>0.92580099999999999</v>
      </c>
      <c r="O38" s="59">
        <v>5814</v>
      </c>
      <c r="P38" s="59">
        <v>491</v>
      </c>
      <c r="Q38" s="70">
        <v>0.92212499999999997</v>
      </c>
      <c r="R38" s="59">
        <v>5561</v>
      </c>
      <c r="S38" s="59">
        <v>466</v>
      </c>
      <c r="T38" s="70">
        <v>0.92268099999999997</v>
      </c>
      <c r="U38" s="59">
        <v>5431</v>
      </c>
      <c r="V38" s="59">
        <v>481</v>
      </c>
      <c r="W38" s="70">
        <v>0.91864000000000001</v>
      </c>
      <c r="X38" s="59">
        <v>5171</v>
      </c>
      <c r="Y38" s="59">
        <v>414</v>
      </c>
      <c r="Z38" s="70">
        <v>0.92587200000000003</v>
      </c>
      <c r="AA38" s="59">
        <v>5104</v>
      </c>
      <c r="AB38" s="59">
        <v>397</v>
      </c>
      <c r="AC38" s="70">
        <v>0.92783099999999996</v>
      </c>
      <c r="AD38" s="59">
        <v>4891</v>
      </c>
      <c r="AE38" s="59">
        <v>395</v>
      </c>
      <c r="AF38" s="70">
        <v>0.92527400000000004</v>
      </c>
    </row>
    <row r="39" spans="2:32" x14ac:dyDescent="0.2">
      <c r="B39" s="69" t="s">
        <v>25</v>
      </c>
      <c r="C39" s="59">
        <v>7198</v>
      </c>
      <c r="D39" s="59">
        <v>828</v>
      </c>
      <c r="E39" s="70">
        <v>0.89683500000000005</v>
      </c>
      <c r="F39" s="59">
        <v>7109</v>
      </c>
      <c r="G39" s="59">
        <v>852</v>
      </c>
      <c r="H39" s="70">
        <v>0.89297800000000005</v>
      </c>
      <c r="I39" s="59">
        <v>6975</v>
      </c>
      <c r="J39" s="59">
        <v>885</v>
      </c>
      <c r="K39" s="70">
        <v>0.88740399999999997</v>
      </c>
      <c r="L39" s="59">
        <v>6740</v>
      </c>
      <c r="M39" s="59">
        <v>855</v>
      </c>
      <c r="N39" s="70">
        <v>0.88742500000000002</v>
      </c>
      <c r="O39" s="59">
        <v>6721</v>
      </c>
      <c r="P39" s="59">
        <v>866</v>
      </c>
      <c r="Q39" s="70">
        <v>0.88585700000000001</v>
      </c>
      <c r="R39" s="59">
        <v>6691</v>
      </c>
      <c r="S39" s="59">
        <v>892</v>
      </c>
      <c r="T39" s="70">
        <v>0.88236800000000004</v>
      </c>
      <c r="U39" s="59">
        <v>6802</v>
      </c>
      <c r="V39" s="59">
        <v>862</v>
      </c>
      <c r="W39" s="70">
        <v>0.88752600000000004</v>
      </c>
      <c r="X39" s="59">
        <v>6828</v>
      </c>
      <c r="Y39" s="59">
        <v>810</v>
      </c>
      <c r="Z39" s="70">
        <v>0.89395100000000005</v>
      </c>
      <c r="AA39" s="59">
        <v>6760</v>
      </c>
      <c r="AB39" s="59">
        <v>778</v>
      </c>
      <c r="AC39" s="70">
        <v>0.89678899999999995</v>
      </c>
      <c r="AD39" s="59">
        <v>6789</v>
      </c>
      <c r="AE39" s="59">
        <v>679</v>
      </c>
      <c r="AF39" s="70">
        <v>0.90907800000000005</v>
      </c>
    </row>
    <row r="40" spans="2:32" x14ac:dyDescent="0.2">
      <c r="B40" s="71" t="s">
        <v>26</v>
      </c>
      <c r="C40" s="62">
        <v>10768</v>
      </c>
      <c r="D40" s="62">
        <v>1464</v>
      </c>
      <c r="E40" s="72">
        <v>0.88031300000000001</v>
      </c>
      <c r="F40" s="62">
        <v>11286</v>
      </c>
      <c r="G40" s="62">
        <v>1548</v>
      </c>
      <c r="H40" s="72">
        <v>0.879382</v>
      </c>
      <c r="I40" s="62">
        <v>11670</v>
      </c>
      <c r="J40" s="62">
        <v>1627</v>
      </c>
      <c r="K40" s="72">
        <v>0.877641</v>
      </c>
      <c r="L40" s="62">
        <v>11907</v>
      </c>
      <c r="M40" s="62">
        <v>1804</v>
      </c>
      <c r="N40" s="72">
        <v>0.86842600000000003</v>
      </c>
      <c r="O40" s="62">
        <v>12111</v>
      </c>
      <c r="P40" s="62">
        <v>1733</v>
      </c>
      <c r="Q40" s="72">
        <v>0.87481900000000001</v>
      </c>
      <c r="R40" s="62">
        <v>12445</v>
      </c>
      <c r="S40" s="62">
        <v>1776</v>
      </c>
      <c r="T40" s="72">
        <v>0.87511399999999995</v>
      </c>
      <c r="U40" s="62">
        <v>12714</v>
      </c>
      <c r="V40" s="62">
        <v>1684</v>
      </c>
      <c r="W40" s="72">
        <v>0.88303900000000002</v>
      </c>
      <c r="X40" s="62">
        <v>12891</v>
      </c>
      <c r="Y40" s="62">
        <v>1590</v>
      </c>
      <c r="Z40" s="72">
        <v>0.89019999999999999</v>
      </c>
      <c r="AA40" s="62">
        <v>13065</v>
      </c>
      <c r="AB40" s="62">
        <v>1527</v>
      </c>
      <c r="AC40" s="72">
        <v>0.89535299999999995</v>
      </c>
      <c r="AD40" s="62">
        <v>13190</v>
      </c>
      <c r="AE40" s="62">
        <v>1447</v>
      </c>
      <c r="AF40" s="72">
        <v>0.90114000000000005</v>
      </c>
    </row>
    <row r="41" spans="2:32" x14ac:dyDescent="0.2">
      <c r="B41" s="20" t="s">
        <v>27</v>
      </c>
      <c r="C41" s="21">
        <f>SUBTOTAL(109,'Enrollment By Residency'!$C$27:$C$40)</f>
        <v>91714</v>
      </c>
      <c r="D41" s="21">
        <f>SUBTOTAL(109,'Enrollment By Residency'!$D$27:$D$40)</f>
        <v>11260</v>
      </c>
      <c r="E41" s="22">
        <f>'Enrollment By Residency'!$C$41 / ('Enrollment By Residency'!$D$41 + 'Enrollment By Residency'!$C$41)</f>
        <v>0.89065200924505217</v>
      </c>
      <c r="F41" s="21">
        <f>SUBTOTAL(109,'Enrollment By Residency'!$F$27:$F$40)</f>
        <v>91345</v>
      </c>
      <c r="G41" s="21">
        <f>SUBTOTAL(109,'Enrollment By Residency'!$G$27:$G$40)</f>
        <v>11555</v>
      </c>
      <c r="H41" s="22">
        <f>'Enrollment By Residency'!$F$41 / ('Enrollment By Residency'!$G$41 + 'Enrollment By Residency'!$F$41 )</f>
        <v>0.88770651117589894</v>
      </c>
      <c r="I41" s="21">
        <f>SUBTOTAL(109,'Enrollment By Residency'!$I$27:$I$40)</f>
        <v>88987</v>
      </c>
      <c r="J41" s="21">
        <f>SUBTOTAL(109,'Enrollment By Residency'!$J$27:$J$40)</f>
        <v>11580</v>
      </c>
      <c r="K41" s="22">
        <f>'Enrollment By Residency'!$I$41 / ('Enrollment By Residency'!$J$41 + 'Enrollment By Residency'!$I$41)</f>
        <v>0.88485288414688712</v>
      </c>
      <c r="L41" s="21">
        <f>SUBTOTAL(109,'Enrollment By Residency'!$L$27:$L$40)</f>
        <v>87071</v>
      </c>
      <c r="M41" s="21">
        <f>SUBTOTAL(109,'Enrollment By Residency'!$M$27:$M$40)</f>
        <v>11522</v>
      </c>
      <c r="N41" s="22">
        <f>'Enrollment By Residency'!$L$41 / ('Enrollment By Residency'!$M$41 + 'Enrollment By Residency'!$L$41)</f>
        <v>0.88313571957441195</v>
      </c>
      <c r="O41" s="21">
        <f>SUBTOTAL(109,'Enrollment By Residency'!$O$27:$O$40)</f>
        <v>84977</v>
      </c>
      <c r="P41" s="21">
        <f>SUBTOTAL(109,'Enrollment By Residency'!$P$27:$P$40)</f>
        <v>11029</v>
      </c>
      <c r="Q41" s="22">
        <f>'Enrollment By Residency'!$O$41 / ('Enrollment By Residency'!$P$41 +'Enrollment By Residency'!$O$41)</f>
        <v>0.88512176322313185</v>
      </c>
      <c r="R41" s="21">
        <f>SUBTOTAL(109,'Enrollment By Residency'!$R$27:$R$40)</f>
        <v>82477</v>
      </c>
      <c r="S41" s="21">
        <f>SUBTOTAL(109,'Enrollment By Residency'!$S$27:$S$40)</f>
        <v>10614</v>
      </c>
      <c r="T41" s="22">
        <f>'Enrollment By Residency'!$R$41 / ('Enrollment By Residency'!$S$41 +'Enrollment By Residency'!$R$41)</f>
        <v>0.88598253322018239</v>
      </c>
      <c r="U41" s="21">
        <f>SUBTOTAL(109,'Enrollment By Residency'!$U$27:$U$40)</f>
        <v>79875</v>
      </c>
      <c r="V41" s="21">
        <f>SUBTOTAL(109,'Enrollment By Residency'!$V$27:$V$40)</f>
        <v>10197</v>
      </c>
      <c r="W41" s="22">
        <f>'Enrollment By Residency'!$U$41 / ('Enrollment By Residency'!$V$41 +'Enrollment By Residency'!$U$41)</f>
        <v>0.88679056754596319</v>
      </c>
      <c r="X41" s="21">
        <f>SUBTOTAL(109,'Enrollment By Residency'!$X$27:$X$40)</f>
        <v>77634</v>
      </c>
      <c r="Y41" s="21">
        <f>SUBTOTAL(109,'Enrollment By Residency'!$Y$27:$Y$40)</f>
        <v>9608</v>
      </c>
      <c r="Z41" s="22">
        <f>'Enrollment By Residency'!$X$41 / ('Enrollment By Residency'!$Y$41 +'Enrollment By Residency'!$X$41)</f>
        <v>0.88986955824029712</v>
      </c>
      <c r="AA41" s="21">
        <f>SUBTOTAL(109,'Enrollment By Residency'!$AA$27:$AA$40)</f>
        <v>74202</v>
      </c>
      <c r="AB41" s="21">
        <f>SUBTOTAL(109,'Enrollment By Residency'!$AB$27:$AB$40)</f>
        <v>8872</v>
      </c>
      <c r="AC41" s="22">
        <f>'Enrollment By Residency'!$AA$41 / ('Enrollment By Residency'!$AB$41 +'Enrollment By Residency'!$AA$41)</f>
        <v>0.893203649758047</v>
      </c>
      <c r="AD41" s="21">
        <f>SUBTOTAL(109,'Enrollment By Residency'!$AD$27:$AD$40)</f>
        <v>72063</v>
      </c>
      <c r="AE41" s="21">
        <f>SUBTOTAL(109,'Enrollment By Residency'!$AE$27:$AE$40)</f>
        <v>8363</v>
      </c>
      <c r="AF41" s="22">
        <f>'Enrollment By Residency'!$AD$41 / ('Enrollment By Residency'!$AE$41 +'Enrollment By Residency'!$AD$41)</f>
        <v>0.89601621366224848</v>
      </c>
    </row>
    <row r="44" spans="2:32" ht="15" x14ac:dyDescent="0.2">
      <c r="B44" s="131" t="s">
        <v>130</v>
      </c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</row>
    <row r="45" spans="2:32" x14ac:dyDescent="0.2">
      <c r="B45" s="134" t="s">
        <v>1</v>
      </c>
      <c r="C45" s="133" t="str">
        <f>CONCATENATE(IF(RIGHT(Parameters!B1,1) = "1","Fall ", "Spring "),IF(RIGHT(Parameters!B1,1) = "1",LEFT(Parameters!B1,4) -9, LEFT(Parameters!B1,4) - 8))</f>
        <v>Fall 2010</v>
      </c>
      <c r="D45" s="133"/>
      <c r="E45" s="133"/>
      <c r="F45" s="133" t="str">
        <f>CONCATENATE(IF(RIGHT(Parameters!B1,1) = "1","Fall ", "Spring "),IF(RIGHT(Parameters!B1,1) = "1",LEFT(Parameters!B1,4) -8, LEFT(Parameters!B1,4) - 7))</f>
        <v>Fall 2011</v>
      </c>
      <c r="G45" s="133"/>
      <c r="H45" s="133"/>
      <c r="I45" s="133" t="str">
        <f>CONCATENATE(IF(RIGHT(Parameters!B1,1) = "1","Fall ", "Spring "),IF(RIGHT(Parameters!B1,1) = "1",LEFT(Parameters!B1,4) -7, LEFT(Parameters!B1,4) - 6))</f>
        <v>Fall 2012</v>
      </c>
      <c r="J45" s="133"/>
      <c r="K45" s="133"/>
      <c r="L45" s="133" t="str">
        <f>CONCATENATE(IF(RIGHT(Parameters!B1,1) = "1","Fall ", "Spring "),IF(RIGHT(Parameters!B1,1) = "1",LEFT(Parameters!B1,4) -6, LEFT(Parameters!B1,4) - 5))</f>
        <v>Fall 2013</v>
      </c>
      <c r="M45" s="133"/>
      <c r="N45" s="133"/>
      <c r="O45" s="133" t="str">
        <f>CONCATENATE(IF(RIGHT(Parameters!B1,1) = "1","Fall ", "Spring "),IF(RIGHT(Parameters!B1,1) = "1",LEFT(Parameters!B1,4) -5, LEFT(Parameters!B1,4) - 4))</f>
        <v>Fall 2014</v>
      </c>
      <c r="P45" s="133"/>
      <c r="Q45" s="133"/>
      <c r="R45" s="133" t="str">
        <f>CONCATENATE(IF(RIGHT(Parameters!B1,1) = "1","Fall ", "Spring "),IF(RIGHT(Parameters!B1,1) = "1",LEFT(Parameters!B1,4) -4, LEFT(Parameters!B1,4) - 3))</f>
        <v>Fall 2015</v>
      </c>
      <c r="S45" s="133"/>
      <c r="T45" s="133"/>
      <c r="U45" s="133" t="str">
        <f>CONCATENATE(IF(RIGHT(Parameters!B1,1) = "1","Fall ", "Spring "),IF(RIGHT(Parameters!B1,1) = "1",LEFT(Parameters!B1,4) -3, LEFT(Parameters!B1,4) -2 ))</f>
        <v>Fall 2016</v>
      </c>
      <c r="V45" s="133"/>
      <c r="W45" s="133"/>
      <c r="X45" s="133" t="str">
        <f>CONCATENATE(IF(RIGHT(Parameters!B1,1) = "1","Fall ", "Spring "),IF(RIGHT(Parameters!B1,1) = "1",LEFT(Parameters!B1,4) -2, LEFT(Parameters!B1,4) -1 ))</f>
        <v>Fall 2017</v>
      </c>
      <c r="Y45" s="133"/>
      <c r="Z45" s="133"/>
      <c r="AA45" s="133" t="str">
        <f>CONCATENATE(IF(RIGHT(Parameters!B1,1) = "1","Fall ", "Spring "),IF(RIGHT(Parameters!B1,1) = "1",LEFT(Parameters!B1,4) -1, LEFT(Parameters!B1,4)  ))</f>
        <v>Fall 2018</v>
      </c>
      <c r="AB45" s="133"/>
      <c r="AC45" s="133"/>
      <c r="AD45" s="133" t="str">
        <f>CONCATENATE(IF(RIGHT(Parameters!B1,1) = "1","Fall ", "Spring "),IF(RIGHT(Parameters!B1,1) = "1",LEFT(Parameters!B1,4), LEFT(Parameters!B1,4) + 1))</f>
        <v>Fall 2019</v>
      </c>
      <c r="AE45" s="133"/>
      <c r="AF45" s="133"/>
    </row>
    <row r="46" spans="2:32" ht="28.5" customHeight="1" x14ac:dyDescent="0.2">
      <c r="B46" s="135"/>
      <c r="C46" s="54" t="s">
        <v>126</v>
      </c>
      <c r="D46" s="54" t="s">
        <v>127</v>
      </c>
      <c r="E46" s="54" t="s">
        <v>128</v>
      </c>
      <c r="F46" s="54" t="s">
        <v>126</v>
      </c>
      <c r="G46" s="54" t="s">
        <v>127</v>
      </c>
      <c r="H46" s="54" t="s">
        <v>128</v>
      </c>
      <c r="I46" s="54" t="s">
        <v>126</v>
      </c>
      <c r="J46" s="54" t="s">
        <v>127</v>
      </c>
      <c r="K46" s="54" t="s">
        <v>128</v>
      </c>
      <c r="L46" s="54" t="s">
        <v>126</v>
      </c>
      <c r="M46" s="54" t="s">
        <v>127</v>
      </c>
      <c r="N46" s="54" t="s">
        <v>128</v>
      </c>
      <c r="O46" s="54" t="s">
        <v>126</v>
      </c>
      <c r="P46" s="54" t="s">
        <v>127</v>
      </c>
      <c r="Q46" s="54" t="s">
        <v>128</v>
      </c>
      <c r="R46" s="54" t="s">
        <v>126</v>
      </c>
      <c r="S46" s="54" t="s">
        <v>127</v>
      </c>
      <c r="T46" s="54" t="s">
        <v>128</v>
      </c>
      <c r="U46" s="54" t="s">
        <v>126</v>
      </c>
      <c r="V46" s="54" t="s">
        <v>127</v>
      </c>
      <c r="W46" s="54" t="s">
        <v>128</v>
      </c>
      <c r="X46" s="54" t="s">
        <v>126</v>
      </c>
      <c r="Y46" s="54" t="s">
        <v>127</v>
      </c>
      <c r="Z46" s="54" t="s">
        <v>128</v>
      </c>
      <c r="AA46" s="54" t="s">
        <v>126</v>
      </c>
      <c r="AB46" s="54" t="s">
        <v>127</v>
      </c>
      <c r="AC46" s="54" t="s">
        <v>128</v>
      </c>
      <c r="AD46" s="54" t="s">
        <v>126</v>
      </c>
      <c r="AE46" s="54" t="s">
        <v>127</v>
      </c>
      <c r="AF46" s="54" t="s">
        <v>128</v>
      </c>
    </row>
    <row r="47" spans="2:32" ht="17.25" hidden="1" customHeight="1" thickBot="1" x14ac:dyDescent="0.25">
      <c r="B47" s="26" t="s">
        <v>2</v>
      </c>
      <c r="C47" s="26" t="s">
        <v>84</v>
      </c>
      <c r="D47" s="26" t="s">
        <v>85</v>
      </c>
      <c r="E47" s="26" t="s">
        <v>86</v>
      </c>
      <c r="F47" s="26" t="s">
        <v>87</v>
      </c>
      <c r="G47" s="26" t="s">
        <v>88</v>
      </c>
      <c r="H47" s="26" t="s">
        <v>89</v>
      </c>
      <c r="I47" s="26" t="s">
        <v>90</v>
      </c>
      <c r="J47" s="26" t="s">
        <v>91</v>
      </c>
      <c r="K47" s="26" t="s">
        <v>92</v>
      </c>
      <c r="L47" s="26" t="s">
        <v>93</v>
      </c>
      <c r="M47" s="26" t="s">
        <v>94</v>
      </c>
      <c r="N47" s="26" t="s">
        <v>95</v>
      </c>
      <c r="O47" s="26" t="s">
        <v>96</v>
      </c>
      <c r="P47" s="26" t="s">
        <v>97</v>
      </c>
      <c r="Q47" s="26" t="s">
        <v>98</v>
      </c>
      <c r="R47" s="26" t="s">
        <v>99</v>
      </c>
      <c r="S47" s="26" t="s">
        <v>100</v>
      </c>
      <c r="T47" s="26" t="s">
        <v>101</v>
      </c>
      <c r="U47" s="26" t="s">
        <v>102</v>
      </c>
      <c r="V47" s="26" t="s">
        <v>103</v>
      </c>
      <c r="W47" s="26" t="s">
        <v>104</v>
      </c>
      <c r="X47" s="26" t="s">
        <v>105</v>
      </c>
      <c r="Y47" s="26" t="s">
        <v>106</v>
      </c>
      <c r="Z47" s="26" t="s">
        <v>107</v>
      </c>
      <c r="AA47" s="26" t="s">
        <v>108</v>
      </c>
      <c r="AB47" s="26" t="s">
        <v>109</v>
      </c>
      <c r="AC47" s="26" t="s">
        <v>110</v>
      </c>
      <c r="AD47" s="26" t="s">
        <v>111</v>
      </c>
      <c r="AE47" s="26" t="s">
        <v>112</v>
      </c>
      <c r="AF47" s="26" t="s">
        <v>113</v>
      </c>
    </row>
    <row r="48" spans="2:32" x14ac:dyDescent="0.2">
      <c r="B48" s="67" t="s">
        <v>13</v>
      </c>
      <c r="C48" s="57">
        <v>876</v>
      </c>
      <c r="D48" s="57">
        <v>79</v>
      </c>
      <c r="E48" s="68">
        <v>0.91727700000000001</v>
      </c>
      <c r="F48" s="57">
        <v>826</v>
      </c>
      <c r="G48" s="57">
        <v>77</v>
      </c>
      <c r="H48" s="68">
        <v>0.91472799999999999</v>
      </c>
      <c r="I48" s="57">
        <v>658</v>
      </c>
      <c r="J48" s="57">
        <v>89</v>
      </c>
      <c r="K48" s="68">
        <v>0.88085599999999997</v>
      </c>
      <c r="L48" s="57">
        <v>618</v>
      </c>
      <c r="M48" s="57">
        <v>93</v>
      </c>
      <c r="N48" s="68">
        <v>0.86919800000000003</v>
      </c>
      <c r="O48" s="57">
        <v>600</v>
      </c>
      <c r="P48" s="57">
        <v>79</v>
      </c>
      <c r="Q48" s="68">
        <v>0.88365199999999999</v>
      </c>
      <c r="R48" s="57">
        <v>547</v>
      </c>
      <c r="S48" s="57">
        <v>72</v>
      </c>
      <c r="T48" s="68">
        <v>0.883683</v>
      </c>
      <c r="U48" s="57">
        <v>586</v>
      </c>
      <c r="V48" s="57">
        <v>77</v>
      </c>
      <c r="W48" s="68">
        <v>0.88386100000000001</v>
      </c>
      <c r="X48" s="57">
        <v>616</v>
      </c>
      <c r="Y48" s="57">
        <v>65</v>
      </c>
      <c r="Z48" s="68">
        <v>0.90455200000000002</v>
      </c>
      <c r="AA48" s="57">
        <v>612</v>
      </c>
      <c r="AB48" s="57">
        <v>59</v>
      </c>
      <c r="AC48" s="68">
        <v>0.91207099999999997</v>
      </c>
      <c r="AD48" s="57">
        <v>640</v>
      </c>
      <c r="AE48" s="57">
        <v>57</v>
      </c>
      <c r="AF48" s="68">
        <v>0.91822000000000004</v>
      </c>
    </row>
    <row r="49" spans="2:32" x14ac:dyDescent="0.2">
      <c r="B49" s="69" t="s">
        <v>14</v>
      </c>
      <c r="C49" s="59">
        <v>1443</v>
      </c>
      <c r="D49" s="59">
        <v>538</v>
      </c>
      <c r="E49" s="70">
        <v>0.72841900000000004</v>
      </c>
      <c r="F49" s="59">
        <v>1469</v>
      </c>
      <c r="G49" s="59">
        <v>597</v>
      </c>
      <c r="H49" s="70">
        <v>0.71103499999999997</v>
      </c>
      <c r="I49" s="59">
        <v>1396</v>
      </c>
      <c r="J49" s="59">
        <v>531</v>
      </c>
      <c r="K49" s="70">
        <v>0.72444200000000003</v>
      </c>
      <c r="L49" s="59">
        <v>1284</v>
      </c>
      <c r="M49" s="59">
        <v>509</v>
      </c>
      <c r="N49" s="70">
        <v>0.71611800000000003</v>
      </c>
      <c r="O49" s="59">
        <v>1303</v>
      </c>
      <c r="P49" s="59">
        <v>599</v>
      </c>
      <c r="Q49" s="70">
        <v>0.68506800000000001</v>
      </c>
      <c r="R49" s="59">
        <v>1422</v>
      </c>
      <c r="S49" s="59">
        <v>647</v>
      </c>
      <c r="T49" s="70">
        <v>0.68728800000000001</v>
      </c>
      <c r="U49" s="59">
        <v>1417</v>
      </c>
      <c r="V49" s="59">
        <v>614</v>
      </c>
      <c r="W49" s="70">
        <v>0.697685</v>
      </c>
      <c r="X49" s="59">
        <v>1418</v>
      </c>
      <c r="Y49" s="59">
        <v>813</v>
      </c>
      <c r="Z49" s="70">
        <v>0.63558899999999996</v>
      </c>
      <c r="AA49" s="59">
        <v>1460</v>
      </c>
      <c r="AB49" s="59">
        <v>678</v>
      </c>
      <c r="AC49" s="70">
        <v>0.68288099999999996</v>
      </c>
      <c r="AD49" s="59">
        <v>1374</v>
      </c>
      <c r="AE49" s="59">
        <v>612</v>
      </c>
      <c r="AF49" s="70">
        <v>0.69184199999999996</v>
      </c>
    </row>
    <row r="50" spans="2:32" x14ac:dyDescent="0.2">
      <c r="B50" s="69" t="s">
        <v>15</v>
      </c>
      <c r="C50" s="59">
        <v>64</v>
      </c>
      <c r="D50" s="59">
        <v>14</v>
      </c>
      <c r="E50" s="70">
        <v>0.82051200000000002</v>
      </c>
      <c r="F50" s="59">
        <v>54</v>
      </c>
      <c r="G50" s="59">
        <v>5</v>
      </c>
      <c r="H50" s="70">
        <v>0.91525400000000001</v>
      </c>
      <c r="I50" s="59">
        <v>57</v>
      </c>
      <c r="J50" s="59">
        <v>3</v>
      </c>
      <c r="K50" s="70">
        <v>0.94999900000000004</v>
      </c>
      <c r="L50" s="59">
        <v>30</v>
      </c>
      <c r="M50" s="59">
        <v>3</v>
      </c>
      <c r="N50" s="70">
        <v>0.90908999999999995</v>
      </c>
      <c r="O50" s="59">
        <v>21</v>
      </c>
      <c r="P50" s="59">
        <v>4</v>
      </c>
      <c r="Q50" s="70">
        <v>0.83999900000000005</v>
      </c>
      <c r="R50" s="59">
        <v>16</v>
      </c>
      <c r="S50" s="59">
        <v>9</v>
      </c>
      <c r="T50" s="70">
        <v>0.63999899999999998</v>
      </c>
      <c r="U50" s="59">
        <v>25</v>
      </c>
      <c r="V50" s="59">
        <v>12</v>
      </c>
      <c r="W50" s="70">
        <v>0.67567500000000003</v>
      </c>
      <c r="X50" s="59">
        <v>23</v>
      </c>
      <c r="Y50" s="59">
        <v>9</v>
      </c>
      <c r="Z50" s="70">
        <v>0.71874899999999997</v>
      </c>
      <c r="AA50" s="59">
        <v>0</v>
      </c>
      <c r="AB50" s="59">
        <v>0</v>
      </c>
      <c r="AC50" s="70">
        <v>0</v>
      </c>
      <c r="AD50" s="59">
        <v>0</v>
      </c>
      <c r="AE50" s="59">
        <v>0</v>
      </c>
      <c r="AF50" s="70">
        <v>0</v>
      </c>
    </row>
    <row r="51" spans="2:32" x14ac:dyDescent="0.2">
      <c r="B51" s="69" t="s">
        <v>16</v>
      </c>
      <c r="C51" s="59">
        <v>799</v>
      </c>
      <c r="D51" s="59">
        <v>291</v>
      </c>
      <c r="E51" s="70">
        <v>0.73302699999999998</v>
      </c>
      <c r="F51" s="59">
        <v>750</v>
      </c>
      <c r="G51" s="59">
        <v>365</v>
      </c>
      <c r="H51" s="70">
        <v>0.67264500000000005</v>
      </c>
      <c r="I51" s="59">
        <v>644</v>
      </c>
      <c r="J51" s="59">
        <v>358</v>
      </c>
      <c r="K51" s="70">
        <v>0.64271400000000001</v>
      </c>
      <c r="L51" s="59">
        <v>582</v>
      </c>
      <c r="M51" s="59">
        <v>299</v>
      </c>
      <c r="N51" s="70">
        <v>0.66061199999999998</v>
      </c>
      <c r="O51" s="59">
        <v>525</v>
      </c>
      <c r="P51" s="59">
        <v>281</v>
      </c>
      <c r="Q51" s="70">
        <v>0.65136400000000005</v>
      </c>
      <c r="R51" s="59">
        <v>574</v>
      </c>
      <c r="S51" s="59">
        <v>239</v>
      </c>
      <c r="T51" s="70">
        <v>0.70602699999999996</v>
      </c>
      <c r="U51" s="59">
        <v>661</v>
      </c>
      <c r="V51" s="59">
        <v>233</v>
      </c>
      <c r="W51" s="70">
        <v>0.73937299999999995</v>
      </c>
      <c r="X51" s="59">
        <v>666</v>
      </c>
      <c r="Y51" s="59">
        <v>238</v>
      </c>
      <c r="Z51" s="70">
        <v>0.73672499999999996</v>
      </c>
      <c r="AA51" s="59">
        <v>675</v>
      </c>
      <c r="AB51" s="59">
        <v>252</v>
      </c>
      <c r="AC51" s="70">
        <v>0.728155</v>
      </c>
      <c r="AD51" s="59">
        <v>664</v>
      </c>
      <c r="AE51" s="59">
        <v>263</v>
      </c>
      <c r="AF51" s="70">
        <v>0.71628899999999995</v>
      </c>
    </row>
    <row r="52" spans="2:32" x14ac:dyDescent="0.2">
      <c r="B52" s="69" t="s">
        <v>17</v>
      </c>
      <c r="C52" s="59">
        <v>842</v>
      </c>
      <c r="D52" s="59">
        <v>173</v>
      </c>
      <c r="E52" s="70">
        <v>0.82955599999999996</v>
      </c>
      <c r="F52" s="59">
        <v>580</v>
      </c>
      <c r="G52" s="59">
        <v>117</v>
      </c>
      <c r="H52" s="70">
        <v>0.83213700000000002</v>
      </c>
      <c r="I52" s="59">
        <v>495</v>
      </c>
      <c r="J52" s="59">
        <v>93</v>
      </c>
      <c r="K52" s="70">
        <v>0.84183600000000003</v>
      </c>
      <c r="L52" s="59">
        <v>463</v>
      </c>
      <c r="M52" s="59">
        <v>129</v>
      </c>
      <c r="N52" s="70">
        <v>0.78209399999999996</v>
      </c>
      <c r="O52" s="59">
        <v>479</v>
      </c>
      <c r="P52" s="59">
        <v>137</v>
      </c>
      <c r="Q52" s="70">
        <v>0.77759699999999998</v>
      </c>
      <c r="R52" s="59">
        <v>537</v>
      </c>
      <c r="S52" s="59">
        <v>124</v>
      </c>
      <c r="T52" s="70">
        <v>0.81240500000000004</v>
      </c>
      <c r="U52" s="59">
        <v>546</v>
      </c>
      <c r="V52" s="59">
        <v>125</v>
      </c>
      <c r="W52" s="70">
        <v>0.81371000000000004</v>
      </c>
      <c r="X52" s="59">
        <v>563</v>
      </c>
      <c r="Y52" s="59">
        <v>128</v>
      </c>
      <c r="Z52" s="70">
        <v>0.81476099999999996</v>
      </c>
      <c r="AA52" s="59">
        <v>584</v>
      </c>
      <c r="AB52" s="59">
        <v>128</v>
      </c>
      <c r="AC52" s="70">
        <v>0.82022399999999995</v>
      </c>
      <c r="AD52" s="59">
        <v>666</v>
      </c>
      <c r="AE52" s="59">
        <v>131</v>
      </c>
      <c r="AF52" s="70">
        <v>0.83563299999999996</v>
      </c>
    </row>
    <row r="53" spans="2:32" x14ac:dyDescent="0.2">
      <c r="B53" s="69" t="s">
        <v>18</v>
      </c>
      <c r="C53" s="59">
        <v>1751</v>
      </c>
      <c r="D53" s="59">
        <v>194</v>
      </c>
      <c r="E53" s="70">
        <v>0.90025699999999997</v>
      </c>
      <c r="F53" s="59">
        <v>1449</v>
      </c>
      <c r="G53" s="59">
        <v>164</v>
      </c>
      <c r="H53" s="70">
        <v>0.89832599999999996</v>
      </c>
      <c r="I53" s="59">
        <v>1192</v>
      </c>
      <c r="J53" s="59">
        <v>180</v>
      </c>
      <c r="K53" s="70">
        <v>0.86880400000000002</v>
      </c>
      <c r="L53" s="59">
        <v>1045</v>
      </c>
      <c r="M53" s="59">
        <v>189</v>
      </c>
      <c r="N53" s="70">
        <v>0.84683900000000001</v>
      </c>
      <c r="O53" s="59">
        <v>983</v>
      </c>
      <c r="P53" s="59">
        <v>259</v>
      </c>
      <c r="Q53" s="70">
        <v>0.79146499999999997</v>
      </c>
      <c r="R53" s="59">
        <v>980</v>
      </c>
      <c r="S53" s="59">
        <v>323</v>
      </c>
      <c r="T53" s="70">
        <v>0.75210999999999995</v>
      </c>
      <c r="U53" s="59">
        <v>1039</v>
      </c>
      <c r="V53" s="59">
        <v>302</v>
      </c>
      <c r="W53" s="70">
        <v>0.77479399999999998</v>
      </c>
      <c r="X53" s="59">
        <v>995</v>
      </c>
      <c r="Y53" s="59">
        <v>289</v>
      </c>
      <c r="Z53" s="70">
        <v>0.774922</v>
      </c>
      <c r="AA53" s="59">
        <v>965</v>
      </c>
      <c r="AB53" s="59">
        <v>297</v>
      </c>
      <c r="AC53" s="70">
        <v>0.76465899999999998</v>
      </c>
      <c r="AD53" s="59">
        <v>936</v>
      </c>
      <c r="AE53" s="59">
        <v>311</v>
      </c>
      <c r="AF53" s="70">
        <v>0.75060099999999996</v>
      </c>
    </row>
    <row r="54" spans="2:32" x14ac:dyDescent="0.2">
      <c r="B54" s="69" t="s">
        <v>19</v>
      </c>
      <c r="C54" s="59">
        <v>1586</v>
      </c>
      <c r="D54" s="59">
        <v>713</v>
      </c>
      <c r="E54" s="70">
        <v>0.68986499999999995</v>
      </c>
      <c r="F54" s="59">
        <v>1510</v>
      </c>
      <c r="G54" s="59">
        <v>679</v>
      </c>
      <c r="H54" s="70">
        <v>0.68981199999999998</v>
      </c>
      <c r="I54" s="59">
        <v>1627</v>
      </c>
      <c r="J54" s="59">
        <v>694</v>
      </c>
      <c r="K54" s="70">
        <v>0.70099</v>
      </c>
      <c r="L54" s="59">
        <v>1466</v>
      </c>
      <c r="M54" s="59">
        <v>791</v>
      </c>
      <c r="N54" s="70">
        <v>0.64953399999999994</v>
      </c>
      <c r="O54" s="59">
        <v>1479</v>
      </c>
      <c r="P54" s="59">
        <v>760</v>
      </c>
      <c r="Q54" s="70">
        <v>0.66056199999999998</v>
      </c>
      <c r="R54" s="59">
        <v>1427</v>
      </c>
      <c r="S54" s="59">
        <v>811</v>
      </c>
      <c r="T54" s="70">
        <v>0.63762200000000002</v>
      </c>
      <c r="U54" s="59">
        <v>1423</v>
      </c>
      <c r="V54" s="59">
        <v>812</v>
      </c>
      <c r="W54" s="70">
        <v>0.63668899999999995</v>
      </c>
      <c r="X54" s="59">
        <v>1430</v>
      </c>
      <c r="Y54" s="59">
        <v>743</v>
      </c>
      <c r="Z54" s="70">
        <v>0.65807599999999999</v>
      </c>
      <c r="AA54" s="59">
        <v>1437</v>
      </c>
      <c r="AB54" s="59">
        <v>673</v>
      </c>
      <c r="AC54" s="70">
        <v>0.68104200000000004</v>
      </c>
      <c r="AD54" s="59">
        <v>1407</v>
      </c>
      <c r="AE54" s="59">
        <v>662</v>
      </c>
      <c r="AF54" s="70">
        <v>0.68003800000000003</v>
      </c>
    </row>
    <row r="55" spans="2:32" x14ac:dyDescent="0.2">
      <c r="B55" s="69" t="s">
        <v>20</v>
      </c>
      <c r="C55" s="59">
        <v>938</v>
      </c>
      <c r="D55" s="59">
        <v>44</v>
      </c>
      <c r="E55" s="70">
        <v>0.95519299999999996</v>
      </c>
      <c r="F55" s="59">
        <v>757</v>
      </c>
      <c r="G55" s="59">
        <v>40</v>
      </c>
      <c r="H55" s="70">
        <v>0.94981099999999996</v>
      </c>
      <c r="I55" s="59">
        <v>640</v>
      </c>
      <c r="J55" s="59">
        <v>29</v>
      </c>
      <c r="K55" s="70">
        <v>0.95665100000000003</v>
      </c>
      <c r="L55" s="59">
        <v>666</v>
      </c>
      <c r="M55" s="59">
        <v>32</v>
      </c>
      <c r="N55" s="70">
        <v>0.95415399999999995</v>
      </c>
      <c r="O55" s="59">
        <v>623</v>
      </c>
      <c r="P55" s="59">
        <v>33</v>
      </c>
      <c r="Q55" s="70">
        <v>0.94969499999999996</v>
      </c>
      <c r="R55" s="59">
        <v>667</v>
      </c>
      <c r="S55" s="59">
        <v>40</v>
      </c>
      <c r="T55" s="70">
        <v>0.94342199999999998</v>
      </c>
      <c r="U55" s="59">
        <v>751</v>
      </c>
      <c r="V55" s="59">
        <v>44</v>
      </c>
      <c r="W55" s="70">
        <v>0.94465399999999999</v>
      </c>
      <c r="X55" s="59">
        <v>791</v>
      </c>
      <c r="Y55" s="59">
        <v>49</v>
      </c>
      <c r="Z55" s="70">
        <v>0.941666</v>
      </c>
      <c r="AA55" s="59">
        <v>862</v>
      </c>
      <c r="AB55" s="59">
        <v>56</v>
      </c>
      <c r="AC55" s="70">
        <v>0.93899699999999997</v>
      </c>
      <c r="AD55" s="59">
        <v>931</v>
      </c>
      <c r="AE55" s="59">
        <v>64</v>
      </c>
      <c r="AF55" s="70">
        <v>0.93567800000000001</v>
      </c>
    </row>
    <row r="56" spans="2:32" x14ac:dyDescent="0.2">
      <c r="B56" s="69" t="s">
        <v>21</v>
      </c>
      <c r="C56" s="59">
        <v>286</v>
      </c>
      <c r="D56" s="59">
        <v>50</v>
      </c>
      <c r="E56" s="70">
        <v>0.85119</v>
      </c>
      <c r="F56" s="59">
        <v>293</v>
      </c>
      <c r="G56" s="59">
        <v>44</v>
      </c>
      <c r="H56" s="70">
        <v>0.86943599999999999</v>
      </c>
      <c r="I56" s="59">
        <v>311</v>
      </c>
      <c r="J56" s="59">
        <v>48</v>
      </c>
      <c r="K56" s="70">
        <v>0.86629500000000004</v>
      </c>
      <c r="L56" s="59">
        <v>346</v>
      </c>
      <c r="M56" s="59">
        <v>59</v>
      </c>
      <c r="N56" s="70">
        <v>0.85431999999999997</v>
      </c>
      <c r="O56" s="59">
        <v>338</v>
      </c>
      <c r="P56" s="59">
        <v>58</v>
      </c>
      <c r="Q56" s="70">
        <v>0.85353500000000004</v>
      </c>
      <c r="R56" s="59">
        <v>345</v>
      </c>
      <c r="S56" s="59">
        <v>42</v>
      </c>
      <c r="T56" s="70">
        <v>0.89147200000000004</v>
      </c>
      <c r="U56" s="59">
        <v>325</v>
      </c>
      <c r="V56" s="59">
        <v>50</v>
      </c>
      <c r="W56" s="70">
        <v>0.86666600000000005</v>
      </c>
      <c r="X56" s="59">
        <v>299</v>
      </c>
      <c r="Y56" s="59">
        <v>56</v>
      </c>
      <c r="Z56" s="70">
        <v>0.84225300000000003</v>
      </c>
      <c r="AA56" s="59">
        <v>296</v>
      </c>
      <c r="AB56" s="59">
        <v>62</v>
      </c>
      <c r="AC56" s="70">
        <v>0.82681499999999997</v>
      </c>
      <c r="AD56" s="59">
        <v>331</v>
      </c>
      <c r="AE56" s="59">
        <v>79</v>
      </c>
      <c r="AF56" s="70">
        <v>0.80731699999999995</v>
      </c>
    </row>
    <row r="57" spans="2:32" x14ac:dyDescent="0.2">
      <c r="B57" s="69" t="s">
        <v>22</v>
      </c>
      <c r="C57" s="59">
        <v>291</v>
      </c>
      <c r="D57" s="59">
        <v>175</v>
      </c>
      <c r="E57" s="70">
        <v>0.62446299999999999</v>
      </c>
      <c r="F57" s="59">
        <v>264</v>
      </c>
      <c r="G57" s="59">
        <v>135</v>
      </c>
      <c r="H57" s="70">
        <v>0.66165399999999996</v>
      </c>
      <c r="I57" s="59">
        <v>194</v>
      </c>
      <c r="J57" s="59">
        <v>113</v>
      </c>
      <c r="K57" s="70">
        <v>0.63192099999999995</v>
      </c>
      <c r="L57" s="59">
        <v>159</v>
      </c>
      <c r="M57" s="59">
        <v>94</v>
      </c>
      <c r="N57" s="70">
        <v>0.62845799999999996</v>
      </c>
      <c r="O57" s="59">
        <v>123</v>
      </c>
      <c r="P57" s="59">
        <v>42</v>
      </c>
      <c r="Q57" s="70">
        <v>0.74545399999999995</v>
      </c>
      <c r="R57" s="59">
        <v>96</v>
      </c>
      <c r="S57" s="59">
        <v>25</v>
      </c>
      <c r="T57" s="70">
        <v>0.79338799999999998</v>
      </c>
      <c r="U57" s="59">
        <v>68</v>
      </c>
      <c r="V57" s="59">
        <v>18</v>
      </c>
      <c r="W57" s="70">
        <v>0.79069699999999998</v>
      </c>
      <c r="X57" s="59">
        <v>52</v>
      </c>
      <c r="Y57" s="59">
        <v>9</v>
      </c>
      <c r="Z57" s="70">
        <v>0.85245899999999997</v>
      </c>
      <c r="AA57" s="59">
        <v>33</v>
      </c>
      <c r="AB57" s="59">
        <v>5</v>
      </c>
      <c r="AC57" s="70">
        <v>0.868421</v>
      </c>
      <c r="AD57" s="59">
        <v>20</v>
      </c>
      <c r="AE57" s="59">
        <v>3</v>
      </c>
      <c r="AF57" s="70">
        <v>0.86956500000000003</v>
      </c>
    </row>
    <row r="58" spans="2:32" x14ac:dyDescent="0.2">
      <c r="B58" s="69" t="s">
        <v>23</v>
      </c>
      <c r="C58" s="59">
        <v>1090</v>
      </c>
      <c r="D58" s="59">
        <v>35</v>
      </c>
      <c r="E58" s="70">
        <v>0.96888799999999997</v>
      </c>
      <c r="F58" s="59">
        <v>1049</v>
      </c>
      <c r="G58" s="59">
        <v>32</v>
      </c>
      <c r="H58" s="70">
        <v>0.97039699999999995</v>
      </c>
      <c r="I58" s="59">
        <v>907</v>
      </c>
      <c r="J58" s="59">
        <v>37</v>
      </c>
      <c r="K58" s="70">
        <v>0.96080500000000002</v>
      </c>
      <c r="L58" s="59">
        <v>840</v>
      </c>
      <c r="M58" s="59">
        <v>51</v>
      </c>
      <c r="N58" s="70">
        <v>0.94276000000000004</v>
      </c>
      <c r="O58" s="59">
        <v>823</v>
      </c>
      <c r="P58" s="59">
        <v>53</v>
      </c>
      <c r="Q58" s="70">
        <v>0.93949700000000003</v>
      </c>
      <c r="R58" s="59">
        <v>842</v>
      </c>
      <c r="S58" s="59">
        <v>62</v>
      </c>
      <c r="T58" s="70">
        <v>0.93141499999999999</v>
      </c>
      <c r="U58" s="59">
        <v>885</v>
      </c>
      <c r="V58" s="59">
        <v>62</v>
      </c>
      <c r="W58" s="70">
        <v>0.93452999999999997</v>
      </c>
      <c r="X58" s="59">
        <v>910</v>
      </c>
      <c r="Y58" s="59">
        <v>60</v>
      </c>
      <c r="Z58" s="70">
        <v>0.93814399999999998</v>
      </c>
      <c r="AA58" s="59">
        <v>941</v>
      </c>
      <c r="AB58" s="59">
        <v>61</v>
      </c>
      <c r="AC58" s="70">
        <v>0.93912099999999998</v>
      </c>
      <c r="AD58" s="59">
        <v>955</v>
      </c>
      <c r="AE58" s="59">
        <v>68</v>
      </c>
      <c r="AF58" s="70">
        <v>0.93352800000000002</v>
      </c>
    </row>
    <row r="59" spans="2:32" x14ac:dyDescent="0.2">
      <c r="B59" s="69" t="s">
        <v>24</v>
      </c>
      <c r="C59" s="59">
        <v>1135</v>
      </c>
      <c r="D59" s="59">
        <v>48</v>
      </c>
      <c r="E59" s="70">
        <v>0.95942499999999997</v>
      </c>
      <c r="F59" s="59">
        <v>992</v>
      </c>
      <c r="G59" s="59">
        <v>59</v>
      </c>
      <c r="H59" s="70">
        <v>0.94386199999999998</v>
      </c>
      <c r="I59" s="59">
        <v>914</v>
      </c>
      <c r="J59" s="59">
        <v>98</v>
      </c>
      <c r="K59" s="70">
        <v>0.90316200000000002</v>
      </c>
      <c r="L59" s="59">
        <v>893</v>
      </c>
      <c r="M59" s="59">
        <v>105</v>
      </c>
      <c r="N59" s="70">
        <v>0.89478899999999995</v>
      </c>
      <c r="O59" s="59">
        <v>912</v>
      </c>
      <c r="P59" s="59">
        <v>138</v>
      </c>
      <c r="Q59" s="70">
        <v>0.86857099999999998</v>
      </c>
      <c r="R59" s="59">
        <v>903</v>
      </c>
      <c r="S59" s="59">
        <v>128</v>
      </c>
      <c r="T59" s="70">
        <v>0.87584799999999996</v>
      </c>
      <c r="U59" s="59">
        <v>919</v>
      </c>
      <c r="V59" s="59">
        <v>158</v>
      </c>
      <c r="W59" s="70">
        <v>0.85329600000000005</v>
      </c>
      <c r="X59" s="59">
        <v>861</v>
      </c>
      <c r="Y59" s="59">
        <v>135</v>
      </c>
      <c r="Z59" s="70">
        <v>0.86445700000000003</v>
      </c>
      <c r="AA59" s="59">
        <v>816</v>
      </c>
      <c r="AB59" s="59">
        <v>91</v>
      </c>
      <c r="AC59" s="70">
        <v>0.89966900000000005</v>
      </c>
      <c r="AD59" s="59">
        <v>745</v>
      </c>
      <c r="AE59" s="59">
        <v>65</v>
      </c>
      <c r="AF59" s="70">
        <v>0.91975300000000004</v>
      </c>
    </row>
    <row r="60" spans="2:32" x14ac:dyDescent="0.2">
      <c r="B60" s="69" t="s">
        <v>25</v>
      </c>
      <c r="C60" s="59">
        <v>713</v>
      </c>
      <c r="D60" s="59">
        <v>113</v>
      </c>
      <c r="E60" s="70">
        <v>0.86319599999999996</v>
      </c>
      <c r="F60" s="59">
        <v>650</v>
      </c>
      <c r="G60" s="59">
        <v>101</v>
      </c>
      <c r="H60" s="70">
        <v>0.86551199999999995</v>
      </c>
      <c r="I60" s="59">
        <v>599</v>
      </c>
      <c r="J60" s="59">
        <v>100</v>
      </c>
      <c r="K60" s="70">
        <v>0.85693799999999998</v>
      </c>
      <c r="L60" s="59">
        <v>627</v>
      </c>
      <c r="M60" s="59">
        <v>125</v>
      </c>
      <c r="N60" s="70">
        <v>0.83377599999999996</v>
      </c>
      <c r="O60" s="59">
        <v>771</v>
      </c>
      <c r="P60" s="59">
        <v>137</v>
      </c>
      <c r="Q60" s="70">
        <v>0.84911800000000004</v>
      </c>
      <c r="R60" s="59">
        <v>889</v>
      </c>
      <c r="S60" s="59">
        <v>156</v>
      </c>
      <c r="T60" s="70">
        <v>0.85071699999999995</v>
      </c>
      <c r="U60" s="59">
        <v>1057</v>
      </c>
      <c r="V60" s="59">
        <v>160</v>
      </c>
      <c r="W60" s="70">
        <v>0.868529</v>
      </c>
      <c r="X60" s="59">
        <v>1076</v>
      </c>
      <c r="Y60" s="59">
        <v>181</v>
      </c>
      <c r="Z60" s="70">
        <v>0.85600600000000004</v>
      </c>
      <c r="AA60" s="59">
        <v>1097</v>
      </c>
      <c r="AB60" s="59">
        <v>189</v>
      </c>
      <c r="AC60" s="70">
        <v>0.85303200000000001</v>
      </c>
      <c r="AD60" s="59">
        <v>1134</v>
      </c>
      <c r="AE60" s="59">
        <v>204</v>
      </c>
      <c r="AF60" s="70">
        <v>0.84753299999999998</v>
      </c>
    </row>
    <row r="61" spans="2:32" x14ac:dyDescent="0.2">
      <c r="B61" s="71" t="s">
        <v>26</v>
      </c>
      <c r="C61" s="62">
        <v>2030</v>
      </c>
      <c r="D61" s="62">
        <v>228</v>
      </c>
      <c r="E61" s="72">
        <v>0.89902499999999996</v>
      </c>
      <c r="F61" s="62">
        <v>2042</v>
      </c>
      <c r="G61" s="62">
        <v>224</v>
      </c>
      <c r="H61" s="72">
        <v>0.90114700000000003</v>
      </c>
      <c r="I61" s="62">
        <v>1892</v>
      </c>
      <c r="J61" s="62">
        <v>222</v>
      </c>
      <c r="K61" s="72">
        <v>0.89498500000000003</v>
      </c>
      <c r="L61" s="62">
        <v>1883</v>
      </c>
      <c r="M61" s="62">
        <v>251</v>
      </c>
      <c r="N61" s="72">
        <v>0.88238000000000005</v>
      </c>
      <c r="O61" s="62">
        <v>1969</v>
      </c>
      <c r="P61" s="62">
        <v>273</v>
      </c>
      <c r="Q61" s="72">
        <v>0.87823300000000004</v>
      </c>
      <c r="R61" s="62">
        <v>2115</v>
      </c>
      <c r="S61" s="62">
        <v>270</v>
      </c>
      <c r="T61" s="72">
        <v>0.88679200000000002</v>
      </c>
      <c r="U61" s="62">
        <v>2318</v>
      </c>
      <c r="V61" s="62">
        <v>290</v>
      </c>
      <c r="W61" s="72">
        <v>0.88880300000000001</v>
      </c>
      <c r="X61" s="62">
        <v>2493</v>
      </c>
      <c r="Y61" s="62">
        <v>362</v>
      </c>
      <c r="Z61" s="72">
        <v>0.87320399999999998</v>
      </c>
      <c r="AA61" s="62">
        <v>2561</v>
      </c>
      <c r="AB61" s="62">
        <v>399</v>
      </c>
      <c r="AC61" s="72">
        <v>0.86520200000000003</v>
      </c>
      <c r="AD61" s="62">
        <v>2656</v>
      </c>
      <c r="AE61" s="62">
        <v>398</v>
      </c>
      <c r="AF61" s="72">
        <v>0.86967899999999998</v>
      </c>
    </row>
    <row r="62" spans="2:32" x14ac:dyDescent="0.2">
      <c r="B62" s="20" t="s">
        <v>27</v>
      </c>
      <c r="C62" s="21">
        <f>SUBTOTAL(109,'Enrollment By Residency'!$C$48:$C$61)</f>
        <v>13844</v>
      </c>
      <c r="D62" s="21">
        <f>SUBTOTAL(109,'Enrollment By Residency'!$D$48:$D$61)</f>
        <v>2695</v>
      </c>
      <c r="E62" s="22">
        <f>'Enrollment By Residency'!$C$62 / ('Enrollment By Residency'!$D$62 + 'Enrollment By Residency'!$C$62)</f>
        <v>0.83705181691758868</v>
      </c>
      <c r="F62" s="21">
        <f>SUBTOTAL(109,'Enrollment By Residency'!$F$48:$F$61)</f>
        <v>12685</v>
      </c>
      <c r="G62" s="21">
        <f>SUBTOTAL(109,'Enrollment By Residency'!$G$48:$G$61)</f>
        <v>2639</v>
      </c>
      <c r="H62" s="22">
        <f>'Enrollment By Residency'!$F$62 / ('Enrollment By Residency'!$G$62 +'Enrollment By Residency'!$F$62)</f>
        <v>0.82778647872618116</v>
      </c>
      <c r="I62" s="21">
        <f>SUBTOTAL(109,'Enrollment By Residency'!$I$48:$I$61)</f>
        <v>11526</v>
      </c>
      <c r="J62" s="21">
        <f>SUBTOTAL(109,'Enrollment By Residency'!$J$48:$J$61)</f>
        <v>2595</v>
      </c>
      <c r="K62" s="22">
        <f>'Enrollment By Residency'!$I$62 / ('Enrollment By Residency'!$J$62 + 'Enrollment By Residency'!$I$62)</f>
        <v>0.81623114510303807</v>
      </c>
      <c r="L62" s="21">
        <f>SUBTOTAL(109,'Enrollment By Residency'!$L$48:$L$61)</f>
        <v>10902</v>
      </c>
      <c r="M62" s="21">
        <f>SUBTOTAL(109,'Enrollment By Residency'!$M$48:$M$61)</f>
        <v>2730</v>
      </c>
      <c r="N62" s="22">
        <f>'Enrollment By Residency'!$L$62 / ('Enrollment By Residency'!$M$62 +'Enrollment By Residency'!$L$62)</f>
        <v>0.79973591549295775</v>
      </c>
      <c r="O62" s="21">
        <f>SUBTOTAL(109,'Enrollment By Residency'!$O$48:$O$61)</f>
        <v>10949</v>
      </c>
      <c r="P62" s="21">
        <f>SUBTOTAL(109,'Enrollment By Residency'!$P$48:$P$61)</f>
        <v>2853</v>
      </c>
      <c r="Q62" s="22">
        <f>'Enrollment By Residency'!$O$62 / ('Enrollment By Residency'!$P$62 +'Enrollment By Residency'!$O$62)</f>
        <v>0.79329082741631651</v>
      </c>
      <c r="R62" s="21">
        <f>SUBTOTAL(109,'Enrollment By Residency'!$R$48:$R$61)</f>
        <v>11360</v>
      </c>
      <c r="S62" s="21">
        <f>SUBTOTAL(109,'Enrollment By Residency'!$S$48:$S$61)</f>
        <v>2948</v>
      </c>
      <c r="T62" s="22">
        <f xml:space="preserve"> 'Enrollment By Residency'!$R$62 /('Enrollment By Residency'!$S$62 +'Enrollment By Residency'!$R$62)</f>
        <v>0.79396142018451221</v>
      </c>
      <c r="U62" s="21">
        <f>SUBTOTAL(109,'Enrollment By Residency'!$U$48:$U$61)</f>
        <v>12020</v>
      </c>
      <c r="V62" s="21">
        <f>SUBTOTAL(109,'Enrollment By Residency'!$V$48:$V$61)</f>
        <v>2957</v>
      </c>
      <c r="W62" s="22">
        <f>'Enrollment By Residency'!$U$62 / ('Enrollment By Residency'!$V$62 + 'Enrollment By Residency'!$U$62)</f>
        <v>0.80256393136142079</v>
      </c>
      <c r="X62" s="21">
        <f>SUBTOTAL(109,'Enrollment By Residency'!$X$48:$X$61)</f>
        <v>12193</v>
      </c>
      <c r="Y62" s="21">
        <f>SUBTOTAL(109,'Enrollment By Residency'!$Y$48:$Y$61)</f>
        <v>3137</v>
      </c>
      <c r="Z62" s="22">
        <f>'Enrollment By Residency'!$X$62 / ('Enrollment By Residency'!$Y$62 +'Enrollment By Residency'!$X$62)</f>
        <v>0.79536855838225706</v>
      </c>
      <c r="AA62" s="21">
        <f>SUBTOTAL(109,'Enrollment By Residency'!$AA$48:$AA$61)</f>
        <v>12339</v>
      </c>
      <c r="AB62" s="21">
        <f>SUBTOTAL(109,'Enrollment By Residency'!$AB$48:$AB$61)</f>
        <v>2950</v>
      </c>
      <c r="AC62" s="22">
        <f xml:space="preserve"> 'Enrollment By Residency'!$AA$62 / ('Enrollment By Residency'!$AB$62 +'Enrollment By Residency'!$AA$62)</f>
        <v>0.80705082085159263</v>
      </c>
      <c r="AD62" s="21">
        <f>SUBTOTAL(109,'Enrollment By Residency'!$AD$48:$AD$61)</f>
        <v>12459</v>
      </c>
      <c r="AE62" s="21">
        <f>SUBTOTAL(109,'Enrollment By Residency'!$AE$48:$AE$61)</f>
        <v>2917</v>
      </c>
      <c r="AF62" s="22">
        <f>'Enrollment By Residency'!$AD$62 / ('Enrollment By Residency'!$AE$62 +'Enrollment By Residency'!$AD$62)</f>
        <v>0.81028876170655562</v>
      </c>
    </row>
    <row r="64" spans="2:32" x14ac:dyDescent="0.2">
      <c r="B64" s="6" t="s">
        <v>29</v>
      </c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</row>
    <row r="65" spans="2:2" x14ac:dyDescent="0.2">
      <c r="B65" s="9" t="s">
        <v>30</v>
      </c>
    </row>
    <row r="66" spans="2:2" x14ac:dyDescent="0.2">
      <c r="B66" s="9" t="s">
        <v>31</v>
      </c>
    </row>
  </sheetData>
  <mergeCells count="37">
    <mergeCell ref="B1:AF1"/>
    <mergeCell ref="B2:AF2"/>
    <mergeCell ref="C3:E3"/>
    <mergeCell ref="F3:H3"/>
    <mergeCell ref="I3:K3"/>
    <mergeCell ref="L3:N3"/>
    <mergeCell ref="O3:Q3"/>
    <mergeCell ref="R3:T3"/>
    <mergeCell ref="U3:W3"/>
    <mergeCell ref="X3:Z3"/>
    <mergeCell ref="AA3:AC3"/>
    <mergeCell ref="AD3:AF3"/>
    <mergeCell ref="B3:B4"/>
    <mergeCell ref="B23:AF23"/>
    <mergeCell ref="C24:E24"/>
    <mergeCell ref="F24:H24"/>
    <mergeCell ref="I24:K24"/>
    <mergeCell ref="L24:N24"/>
    <mergeCell ref="O24:Q24"/>
    <mergeCell ref="R24:T24"/>
    <mergeCell ref="U24:W24"/>
    <mergeCell ref="U45:W45"/>
    <mergeCell ref="X45:Z45"/>
    <mergeCell ref="AA45:AC45"/>
    <mergeCell ref="AD45:AF45"/>
    <mergeCell ref="X24:Z24"/>
    <mergeCell ref="AA24:AC24"/>
    <mergeCell ref="AD24:AF24"/>
    <mergeCell ref="B44:AF44"/>
    <mergeCell ref="C45:E45"/>
    <mergeCell ref="F45:H45"/>
    <mergeCell ref="I45:K45"/>
    <mergeCell ref="L45:N45"/>
    <mergeCell ref="O45:Q45"/>
    <mergeCell ref="R45:T45"/>
    <mergeCell ref="B24:B25"/>
    <mergeCell ref="B45:B46"/>
  </mergeCells>
  <printOptions horizontalCentered="1"/>
  <pageMargins left="0.5" right="0.5" top="1" bottom="0.5" header="0.3" footer="0.3"/>
  <pageSetup paperSize="17" scale="59" fitToHeight="0" orientation="landscape" r:id="rId1"/>
  <headerFooter>
    <oddHeader>&amp;L&amp;"Arial,Regular"&amp;10Pennsylvania's State System of Higher Education | &amp;D
Office of Educational Intelligence | Page &amp;P of &amp;N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B1:AF66"/>
  <sheetViews>
    <sheetView zoomScaleNormal="100" workbookViewId="0">
      <selection activeCell="D64" sqref="D64"/>
    </sheetView>
  </sheetViews>
  <sheetFormatPr defaultRowHeight="14.25" x14ac:dyDescent="0.2"/>
  <cols>
    <col min="1" max="1" width="9.140625" style="5"/>
    <col min="2" max="2" width="23.5703125" style="5" customWidth="1"/>
    <col min="3" max="32" width="10.7109375" style="5" customWidth="1"/>
    <col min="33" max="16384" width="9.140625" style="5"/>
  </cols>
  <sheetData>
    <row r="1" spans="2:32" ht="15" x14ac:dyDescent="0.2">
      <c r="B1" s="131" t="s">
        <v>0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</row>
    <row r="2" spans="2:32" ht="15" x14ac:dyDescent="0.2">
      <c r="B2" s="127" t="s">
        <v>131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</row>
    <row r="3" spans="2:32" x14ac:dyDescent="0.2">
      <c r="B3" s="134" t="s">
        <v>1</v>
      </c>
      <c r="C3" s="133" t="str">
        <f>CONCATENATE(IF(RIGHT(Parameters!B1,1) = "1","Fall ", "Spring "),IF(RIGHT(Parameters!B1,1) = "1",LEFT(Parameters!B1,4) -9, LEFT(Parameters!B1,4) - 8))</f>
        <v>Fall 2010</v>
      </c>
      <c r="D3" s="133"/>
      <c r="E3" s="133"/>
      <c r="F3" s="133" t="str">
        <f>CONCATENATE(IF(RIGHT(Parameters!B1,1) = "1","Fall ", "Spring "),IF(RIGHT(Parameters!B1,1) = "1",LEFT(Parameters!B1,4) -8, LEFT(Parameters!B1,4) - 7))</f>
        <v>Fall 2011</v>
      </c>
      <c r="G3" s="133"/>
      <c r="H3" s="133"/>
      <c r="I3" s="133" t="str">
        <f>CONCATENATE(IF(RIGHT(Parameters!B1,1) = "1","Fall ", "Spring "),IF(RIGHT(Parameters!B1,1) = "1",LEFT(Parameters!B1,4) -7, LEFT(Parameters!B1,4) - 6))</f>
        <v>Fall 2012</v>
      </c>
      <c r="J3" s="133"/>
      <c r="K3" s="133"/>
      <c r="L3" s="133" t="str">
        <f>CONCATENATE(IF(RIGHT(Parameters!B1,1) = "1","Fall ", "Spring "),IF(RIGHT(Parameters!B1,1) = "1",LEFT(Parameters!B1,4) -6, LEFT(Parameters!B1,4) - 5))</f>
        <v>Fall 2013</v>
      </c>
      <c r="M3" s="133"/>
      <c r="N3" s="133"/>
      <c r="O3" s="133" t="str">
        <f>CONCATENATE(IF(RIGHT(Parameters!B1,1) = "1","Fall ", "Spring "),IF(RIGHT(Parameters!B1,1) = "1",LEFT(Parameters!B1,4) -5, LEFT(Parameters!B1,4) - 4))</f>
        <v>Fall 2014</v>
      </c>
      <c r="P3" s="133"/>
      <c r="Q3" s="133"/>
      <c r="R3" s="133" t="str">
        <f>CONCATENATE(IF(RIGHT(Parameters!B1,1) = "1","Fall ", "Spring "),IF(RIGHT(Parameters!B1,1) = "1",LEFT(Parameters!B1,4) -4, LEFT(Parameters!B1,4) - 3))</f>
        <v>Fall 2015</v>
      </c>
      <c r="S3" s="133"/>
      <c r="T3" s="133"/>
      <c r="U3" s="133" t="str">
        <f>CONCATENATE(IF(RIGHT(Parameters!B1,1) = "1","Fall ", "Spring "),IF(RIGHT(Parameters!B1,1) = "1",LEFT(Parameters!B1,4) -3, LEFT(Parameters!B1,4) -2 ))</f>
        <v>Fall 2016</v>
      </c>
      <c r="V3" s="133"/>
      <c r="W3" s="133"/>
      <c r="X3" s="133" t="str">
        <f>CONCATENATE(IF(RIGHT(Parameters!B1,1) = "1","Fall ", "Spring "),IF(RIGHT(Parameters!B1,1) = "1",LEFT(Parameters!B1,4) -2, LEFT(Parameters!B1,4) -1 ))</f>
        <v>Fall 2017</v>
      </c>
      <c r="Y3" s="133"/>
      <c r="Z3" s="133"/>
      <c r="AA3" s="133" t="str">
        <f>CONCATENATE(IF(RIGHT(Parameters!B1,1) = "1","Fall ", "Spring "),IF(RIGHT(Parameters!B1,1) = "1",LEFT(Parameters!B1,4) -1, LEFT(Parameters!B1,4)  ))</f>
        <v>Fall 2018</v>
      </c>
      <c r="AB3" s="133"/>
      <c r="AC3" s="133"/>
      <c r="AD3" s="133" t="str">
        <f>CONCATENATE(IF(RIGHT(Parameters!B1,1) = "1","Fall ", "Spring "),IF(RIGHT(Parameters!B1,1) = "1",LEFT(Parameters!B1,4), LEFT(Parameters!B1,4) + 1))</f>
        <v>Fall 2019</v>
      </c>
      <c r="AE3" s="133"/>
      <c r="AF3" s="133"/>
    </row>
    <row r="4" spans="2:32" ht="28.5" customHeight="1" x14ac:dyDescent="0.2">
      <c r="B4" s="135"/>
      <c r="C4" s="54" t="s">
        <v>132</v>
      </c>
      <c r="D4" s="54" t="s">
        <v>133</v>
      </c>
      <c r="E4" s="54" t="s">
        <v>35</v>
      </c>
      <c r="F4" s="54" t="s">
        <v>132</v>
      </c>
      <c r="G4" s="54" t="s">
        <v>133</v>
      </c>
      <c r="H4" s="54" t="s">
        <v>35</v>
      </c>
      <c r="I4" s="54" t="s">
        <v>132</v>
      </c>
      <c r="J4" s="54" t="s">
        <v>133</v>
      </c>
      <c r="K4" s="54" t="s">
        <v>35</v>
      </c>
      <c r="L4" s="54" t="s">
        <v>132</v>
      </c>
      <c r="M4" s="54" t="s">
        <v>133</v>
      </c>
      <c r="N4" s="54" t="s">
        <v>35</v>
      </c>
      <c r="O4" s="54" t="s">
        <v>132</v>
      </c>
      <c r="P4" s="54" t="s">
        <v>133</v>
      </c>
      <c r="Q4" s="54" t="s">
        <v>35</v>
      </c>
      <c r="R4" s="54" t="s">
        <v>132</v>
      </c>
      <c r="S4" s="54" t="s">
        <v>133</v>
      </c>
      <c r="T4" s="54" t="s">
        <v>35</v>
      </c>
      <c r="U4" s="54" t="s">
        <v>132</v>
      </c>
      <c r="V4" s="54" t="s">
        <v>133</v>
      </c>
      <c r="W4" s="54" t="s">
        <v>35</v>
      </c>
      <c r="X4" s="54" t="s">
        <v>132</v>
      </c>
      <c r="Y4" s="54" t="s">
        <v>133</v>
      </c>
      <c r="Z4" s="54" t="s">
        <v>35</v>
      </c>
      <c r="AA4" s="54" t="s">
        <v>132</v>
      </c>
      <c r="AB4" s="54" t="s">
        <v>133</v>
      </c>
      <c r="AC4" s="54" t="s">
        <v>35</v>
      </c>
      <c r="AD4" s="54" t="s">
        <v>132</v>
      </c>
      <c r="AE4" s="54" t="s">
        <v>133</v>
      </c>
      <c r="AF4" s="54" t="s">
        <v>35</v>
      </c>
    </row>
    <row r="5" spans="2:32" ht="17.25" hidden="1" customHeight="1" thickBot="1" x14ac:dyDescent="0.25">
      <c r="B5" s="26" t="s">
        <v>2</v>
      </c>
      <c r="C5" s="26" t="s">
        <v>84</v>
      </c>
      <c r="D5" s="26" t="s">
        <v>85</v>
      </c>
      <c r="E5" s="26" t="s">
        <v>86</v>
      </c>
      <c r="F5" s="26" t="s">
        <v>87</v>
      </c>
      <c r="G5" s="26" t="s">
        <v>88</v>
      </c>
      <c r="H5" s="26" t="s">
        <v>89</v>
      </c>
      <c r="I5" s="26" t="s">
        <v>90</v>
      </c>
      <c r="J5" s="26" t="s">
        <v>91</v>
      </c>
      <c r="K5" s="26" t="s">
        <v>92</v>
      </c>
      <c r="L5" s="26" t="s">
        <v>93</v>
      </c>
      <c r="M5" s="26" t="s">
        <v>94</v>
      </c>
      <c r="N5" s="26" t="s">
        <v>95</v>
      </c>
      <c r="O5" s="26" t="s">
        <v>96</v>
      </c>
      <c r="P5" s="26" t="s">
        <v>97</v>
      </c>
      <c r="Q5" s="26" t="s">
        <v>98</v>
      </c>
      <c r="R5" s="26" t="s">
        <v>99</v>
      </c>
      <c r="S5" s="26" t="s">
        <v>100</v>
      </c>
      <c r="T5" s="26" t="s">
        <v>101</v>
      </c>
      <c r="U5" s="26" t="s">
        <v>102</v>
      </c>
      <c r="V5" s="26" t="s">
        <v>103</v>
      </c>
      <c r="W5" s="26" t="s">
        <v>104</v>
      </c>
      <c r="X5" s="26" t="s">
        <v>105</v>
      </c>
      <c r="Y5" s="26" t="s">
        <v>106</v>
      </c>
      <c r="Z5" s="26" t="s">
        <v>107</v>
      </c>
      <c r="AA5" s="26" t="s">
        <v>108</v>
      </c>
      <c r="AB5" s="26" t="s">
        <v>109</v>
      </c>
      <c r="AC5" s="26" t="s">
        <v>110</v>
      </c>
      <c r="AD5" s="26" t="s">
        <v>111</v>
      </c>
      <c r="AE5" s="26" t="s">
        <v>112</v>
      </c>
      <c r="AF5" s="26" t="s">
        <v>113</v>
      </c>
    </row>
    <row r="6" spans="2:32" x14ac:dyDescent="0.2">
      <c r="B6" s="76" t="s">
        <v>13</v>
      </c>
      <c r="C6" s="77">
        <v>9063</v>
      </c>
      <c r="D6" s="77">
        <v>1028</v>
      </c>
      <c r="E6" s="77">
        <v>10091</v>
      </c>
      <c r="F6" s="77">
        <v>9142</v>
      </c>
      <c r="G6" s="77">
        <v>1017</v>
      </c>
      <c r="H6" s="77">
        <v>10159</v>
      </c>
      <c r="I6" s="77">
        <v>9030</v>
      </c>
      <c r="J6" s="77">
        <v>920</v>
      </c>
      <c r="K6" s="77">
        <v>9950</v>
      </c>
      <c r="L6" s="77">
        <v>9155</v>
      </c>
      <c r="M6" s="77">
        <v>972</v>
      </c>
      <c r="N6" s="77">
        <v>10127</v>
      </c>
      <c r="O6" s="77">
        <v>8962</v>
      </c>
      <c r="P6" s="77">
        <v>1036</v>
      </c>
      <c r="Q6" s="77">
        <v>9998</v>
      </c>
      <c r="R6" s="77">
        <v>8755</v>
      </c>
      <c r="S6" s="77">
        <v>1022</v>
      </c>
      <c r="T6" s="77">
        <v>9777</v>
      </c>
      <c r="U6" s="77">
        <v>8610</v>
      </c>
      <c r="V6" s="77">
        <v>1048</v>
      </c>
      <c r="W6" s="77">
        <v>9658</v>
      </c>
      <c r="X6" s="77">
        <v>8199</v>
      </c>
      <c r="Y6" s="77">
        <v>1088</v>
      </c>
      <c r="Z6" s="77">
        <v>9287</v>
      </c>
      <c r="AA6" s="77">
        <v>7836</v>
      </c>
      <c r="AB6" s="77">
        <v>1088</v>
      </c>
      <c r="AC6" s="77">
        <v>8924</v>
      </c>
      <c r="AD6" s="77">
        <v>7613</v>
      </c>
      <c r="AE6" s="77">
        <v>1076</v>
      </c>
      <c r="AF6" s="77">
        <v>8689</v>
      </c>
    </row>
    <row r="7" spans="2:32" x14ac:dyDescent="0.2">
      <c r="B7" s="76" t="s">
        <v>14</v>
      </c>
      <c r="C7" s="77">
        <v>7739</v>
      </c>
      <c r="D7" s="77">
        <v>1661</v>
      </c>
      <c r="E7" s="77">
        <v>9400</v>
      </c>
      <c r="F7" s="77">
        <v>7655</v>
      </c>
      <c r="G7" s="77">
        <v>1828</v>
      </c>
      <c r="H7" s="77">
        <v>9483</v>
      </c>
      <c r="I7" s="77">
        <v>6832</v>
      </c>
      <c r="J7" s="77">
        <v>1776</v>
      </c>
      <c r="K7" s="77">
        <v>8608</v>
      </c>
      <c r="L7" s="77">
        <v>6527</v>
      </c>
      <c r="M7" s="77">
        <v>1716</v>
      </c>
      <c r="N7" s="77">
        <v>8243</v>
      </c>
      <c r="O7" s="77">
        <v>6191</v>
      </c>
      <c r="P7" s="77">
        <v>1787</v>
      </c>
      <c r="Q7" s="77">
        <v>7978</v>
      </c>
      <c r="R7" s="77">
        <v>5857</v>
      </c>
      <c r="S7" s="77">
        <v>1997</v>
      </c>
      <c r="T7" s="77">
        <v>7854</v>
      </c>
      <c r="U7" s="77">
        <v>5439</v>
      </c>
      <c r="V7" s="77">
        <v>2114</v>
      </c>
      <c r="W7" s="77">
        <v>7553</v>
      </c>
      <c r="X7" s="77">
        <v>5424</v>
      </c>
      <c r="Y7" s="77">
        <v>2364</v>
      </c>
      <c r="Z7" s="77">
        <v>7788</v>
      </c>
      <c r="AA7" s="77">
        <v>5001</v>
      </c>
      <c r="AB7" s="77">
        <v>2311</v>
      </c>
      <c r="AC7" s="77">
        <v>7312</v>
      </c>
      <c r="AD7" s="77">
        <v>4727</v>
      </c>
      <c r="AE7" s="77">
        <v>2115</v>
      </c>
      <c r="AF7" s="77">
        <v>6842</v>
      </c>
    </row>
    <row r="8" spans="2:32" x14ac:dyDescent="0.2">
      <c r="B8" s="76" t="s">
        <v>15</v>
      </c>
      <c r="C8" s="77">
        <v>1374</v>
      </c>
      <c r="D8" s="77">
        <v>212</v>
      </c>
      <c r="E8" s="77">
        <v>1586</v>
      </c>
      <c r="F8" s="77">
        <v>1126</v>
      </c>
      <c r="G8" s="77">
        <v>74</v>
      </c>
      <c r="H8" s="77">
        <v>1200</v>
      </c>
      <c r="I8" s="77">
        <v>1185</v>
      </c>
      <c r="J8" s="77">
        <v>99</v>
      </c>
      <c r="K8" s="77">
        <v>1284</v>
      </c>
      <c r="L8" s="77">
        <v>1123</v>
      </c>
      <c r="M8" s="77">
        <v>89</v>
      </c>
      <c r="N8" s="77">
        <v>1212</v>
      </c>
      <c r="O8" s="77">
        <v>942</v>
      </c>
      <c r="P8" s="77">
        <v>80</v>
      </c>
      <c r="Q8" s="77">
        <v>1022</v>
      </c>
      <c r="R8" s="77">
        <v>633</v>
      </c>
      <c r="S8" s="77">
        <v>78</v>
      </c>
      <c r="T8" s="77">
        <v>711</v>
      </c>
      <c r="U8" s="77">
        <v>679</v>
      </c>
      <c r="V8" s="77">
        <v>67</v>
      </c>
      <c r="W8" s="77">
        <v>746</v>
      </c>
      <c r="X8" s="77">
        <v>695</v>
      </c>
      <c r="Y8" s="77">
        <v>60</v>
      </c>
      <c r="Z8" s="77">
        <v>755</v>
      </c>
      <c r="AA8" s="77">
        <v>436</v>
      </c>
      <c r="AB8" s="77">
        <v>33</v>
      </c>
      <c r="AC8" s="77">
        <v>469</v>
      </c>
      <c r="AD8" s="77">
        <v>556</v>
      </c>
      <c r="AE8" s="77">
        <v>62</v>
      </c>
      <c r="AF8" s="77">
        <v>618</v>
      </c>
    </row>
    <row r="9" spans="2:32" x14ac:dyDescent="0.2">
      <c r="B9" s="76" t="s">
        <v>16</v>
      </c>
      <c r="C9" s="77">
        <v>5544</v>
      </c>
      <c r="D9" s="77">
        <v>1771</v>
      </c>
      <c r="E9" s="77">
        <v>7315</v>
      </c>
      <c r="F9" s="77">
        <v>5326</v>
      </c>
      <c r="G9" s="77">
        <v>1665</v>
      </c>
      <c r="H9" s="77">
        <v>6991</v>
      </c>
      <c r="I9" s="77">
        <v>4894</v>
      </c>
      <c r="J9" s="77">
        <v>1626</v>
      </c>
      <c r="K9" s="77">
        <v>6520</v>
      </c>
      <c r="L9" s="77">
        <v>4580</v>
      </c>
      <c r="M9" s="77">
        <v>1500</v>
      </c>
      <c r="N9" s="77">
        <v>6080</v>
      </c>
      <c r="O9" s="77">
        <v>4194</v>
      </c>
      <c r="P9" s="77">
        <v>1518</v>
      </c>
      <c r="Q9" s="77">
        <v>5712</v>
      </c>
      <c r="R9" s="77">
        <v>3894</v>
      </c>
      <c r="S9" s="77">
        <v>1474</v>
      </c>
      <c r="T9" s="77">
        <v>5368</v>
      </c>
      <c r="U9" s="77">
        <v>3797</v>
      </c>
      <c r="V9" s="77">
        <v>1427</v>
      </c>
      <c r="W9" s="77">
        <v>5224</v>
      </c>
      <c r="X9" s="77">
        <v>3731</v>
      </c>
      <c r="Y9" s="77">
        <v>1494</v>
      </c>
      <c r="Z9" s="77">
        <v>5225</v>
      </c>
      <c r="AA9" s="77">
        <v>3414</v>
      </c>
      <c r="AB9" s="77">
        <v>1455</v>
      </c>
      <c r="AC9" s="77">
        <v>4869</v>
      </c>
      <c r="AD9" s="77">
        <v>3226</v>
      </c>
      <c r="AE9" s="77">
        <v>1477</v>
      </c>
      <c r="AF9" s="77">
        <v>4703</v>
      </c>
    </row>
    <row r="10" spans="2:32" x14ac:dyDescent="0.2">
      <c r="B10" s="76" t="s">
        <v>17</v>
      </c>
      <c r="C10" s="77">
        <v>6205</v>
      </c>
      <c r="D10" s="77">
        <v>1182</v>
      </c>
      <c r="E10" s="77">
        <v>7387</v>
      </c>
      <c r="F10" s="77">
        <v>6397</v>
      </c>
      <c r="G10" s="77">
        <v>956</v>
      </c>
      <c r="H10" s="77">
        <v>7353</v>
      </c>
      <c r="I10" s="77">
        <v>6040</v>
      </c>
      <c r="J10" s="77">
        <v>903</v>
      </c>
      <c r="K10" s="77">
        <v>6943</v>
      </c>
      <c r="L10" s="77">
        <v>5794</v>
      </c>
      <c r="M10" s="77">
        <v>984</v>
      </c>
      <c r="N10" s="77">
        <v>6778</v>
      </c>
      <c r="O10" s="77">
        <v>5943</v>
      </c>
      <c r="P10" s="77">
        <v>877</v>
      </c>
      <c r="Q10" s="77">
        <v>6820</v>
      </c>
      <c r="R10" s="77">
        <v>5983</v>
      </c>
      <c r="S10" s="77">
        <v>845</v>
      </c>
      <c r="T10" s="77">
        <v>6828</v>
      </c>
      <c r="U10" s="77">
        <v>5936</v>
      </c>
      <c r="V10" s="77">
        <v>894</v>
      </c>
      <c r="W10" s="77">
        <v>6830</v>
      </c>
      <c r="X10" s="77">
        <v>5841</v>
      </c>
      <c r="Y10" s="77">
        <v>901</v>
      </c>
      <c r="Z10" s="77">
        <v>6742</v>
      </c>
      <c r="AA10" s="77">
        <v>5550</v>
      </c>
      <c r="AB10" s="77">
        <v>875</v>
      </c>
      <c r="AC10" s="77">
        <v>6425</v>
      </c>
      <c r="AD10" s="77">
        <v>5240</v>
      </c>
      <c r="AE10" s="77">
        <v>974</v>
      </c>
      <c r="AF10" s="77">
        <v>6214</v>
      </c>
    </row>
    <row r="11" spans="2:32" x14ac:dyDescent="0.2">
      <c r="B11" s="76" t="s">
        <v>18</v>
      </c>
      <c r="C11" s="77">
        <v>6575</v>
      </c>
      <c r="D11" s="77">
        <v>2067</v>
      </c>
      <c r="E11" s="77">
        <v>8642</v>
      </c>
      <c r="F11" s="77">
        <v>6510</v>
      </c>
      <c r="G11" s="77">
        <v>1752</v>
      </c>
      <c r="H11" s="77">
        <v>8262</v>
      </c>
      <c r="I11" s="77">
        <v>6078</v>
      </c>
      <c r="J11" s="77">
        <v>1384</v>
      </c>
      <c r="K11" s="77">
        <v>7462</v>
      </c>
      <c r="L11" s="77">
        <v>5770</v>
      </c>
      <c r="M11" s="77">
        <v>1328</v>
      </c>
      <c r="N11" s="77">
        <v>7098</v>
      </c>
      <c r="O11" s="77">
        <v>5604</v>
      </c>
      <c r="P11" s="77">
        <v>1233</v>
      </c>
      <c r="Q11" s="77">
        <v>6837</v>
      </c>
      <c r="R11" s="77">
        <v>5300</v>
      </c>
      <c r="S11" s="77">
        <v>1250</v>
      </c>
      <c r="T11" s="77">
        <v>6550</v>
      </c>
      <c r="U11" s="77">
        <v>4982</v>
      </c>
      <c r="V11" s="77">
        <v>1199</v>
      </c>
      <c r="W11" s="77">
        <v>6181</v>
      </c>
      <c r="X11" s="77">
        <v>4523</v>
      </c>
      <c r="Y11" s="77">
        <v>1052</v>
      </c>
      <c r="Z11" s="77">
        <v>5575</v>
      </c>
      <c r="AA11" s="77">
        <v>3840</v>
      </c>
      <c r="AB11" s="77">
        <v>994</v>
      </c>
      <c r="AC11" s="77">
        <v>4834</v>
      </c>
      <c r="AD11" s="77">
        <v>3643</v>
      </c>
      <c r="AE11" s="77">
        <v>1003</v>
      </c>
      <c r="AF11" s="77">
        <v>4646</v>
      </c>
    </row>
    <row r="12" spans="2:32" x14ac:dyDescent="0.2">
      <c r="B12" s="76" t="s">
        <v>19</v>
      </c>
      <c r="C12" s="77">
        <v>12893</v>
      </c>
      <c r="D12" s="77">
        <v>2233</v>
      </c>
      <c r="E12" s="77">
        <v>15126</v>
      </c>
      <c r="F12" s="77">
        <v>13098</v>
      </c>
      <c r="G12" s="77">
        <v>2034</v>
      </c>
      <c r="H12" s="77">
        <v>15132</v>
      </c>
      <c r="I12" s="77">
        <v>13507</v>
      </c>
      <c r="J12" s="77">
        <v>2089</v>
      </c>
      <c r="K12" s="77">
        <v>15596</v>
      </c>
      <c r="L12" s="77">
        <v>12965</v>
      </c>
      <c r="M12" s="77">
        <v>1960</v>
      </c>
      <c r="N12" s="77">
        <v>14925</v>
      </c>
      <c r="O12" s="77">
        <v>12350</v>
      </c>
      <c r="P12" s="77">
        <v>2221</v>
      </c>
      <c r="Q12" s="77">
        <v>14571</v>
      </c>
      <c r="R12" s="77">
        <v>11863</v>
      </c>
      <c r="S12" s="77">
        <v>2172</v>
      </c>
      <c r="T12" s="77">
        <v>14035</v>
      </c>
      <c r="U12" s="77">
        <v>11039</v>
      </c>
      <c r="V12" s="77">
        <v>2075</v>
      </c>
      <c r="W12" s="77">
        <v>13114</v>
      </c>
      <c r="X12" s="77">
        <v>10445</v>
      </c>
      <c r="Y12" s="77">
        <v>2117</v>
      </c>
      <c r="Z12" s="77">
        <v>12562</v>
      </c>
      <c r="AA12" s="77">
        <v>9377</v>
      </c>
      <c r="AB12" s="77">
        <v>2204</v>
      </c>
      <c r="AC12" s="77">
        <v>11581</v>
      </c>
      <c r="AD12" s="77">
        <v>8523</v>
      </c>
      <c r="AE12" s="77">
        <v>2113</v>
      </c>
      <c r="AF12" s="77">
        <v>10636</v>
      </c>
    </row>
    <row r="13" spans="2:32" x14ac:dyDescent="0.2">
      <c r="B13" s="76" t="s">
        <v>20</v>
      </c>
      <c r="C13" s="77">
        <v>9203</v>
      </c>
      <c r="D13" s="77">
        <v>1504</v>
      </c>
      <c r="E13" s="77">
        <v>10707</v>
      </c>
      <c r="F13" s="77">
        <v>9117</v>
      </c>
      <c r="G13" s="77">
        <v>1166</v>
      </c>
      <c r="H13" s="77">
        <v>10283</v>
      </c>
      <c r="I13" s="77">
        <v>8891</v>
      </c>
      <c r="J13" s="77">
        <v>913</v>
      </c>
      <c r="K13" s="77">
        <v>9804</v>
      </c>
      <c r="L13" s="77">
        <v>8548</v>
      </c>
      <c r="M13" s="77">
        <v>965</v>
      </c>
      <c r="N13" s="77">
        <v>9513</v>
      </c>
      <c r="O13" s="77">
        <v>8319</v>
      </c>
      <c r="P13" s="77">
        <v>899</v>
      </c>
      <c r="Q13" s="77">
        <v>9218</v>
      </c>
      <c r="R13" s="77">
        <v>8096</v>
      </c>
      <c r="S13" s="77">
        <v>904</v>
      </c>
      <c r="T13" s="77">
        <v>9000</v>
      </c>
      <c r="U13" s="77">
        <v>7566</v>
      </c>
      <c r="V13" s="77">
        <v>947</v>
      </c>
      <c r="W13" s="77">
        <v>8513</v>
      </c>
      <c r="X13" s="77">
        <v>7346</v>
      </c>
      <c r="Y13" s="77">
        <v>983</v>
      </c>
      <c r="Z13" s="77">
        <v>8329</v>
      </c>
      <c r="AA13" s="77">
        <v>7249</v>
      </c>
      <c r="AB13" s="77">
        <v>1060</v>
      </c>
      <c r="AC13" s="77">
        <v>8309</v>
      </c>
      <c r="AD13" s="77">
        <v>6782</v>
      </c>
      <c r="AE13" s="77">
        <v>1417</v>
      </c>
      <c r="AF13" s="77">
        <v>8199</v>
      </c>
    </row>
    <row r="14" spans="2:32" x14ac:dyDescent="0.2">
      <c r="B14" s="76" t="s">
        <v>21</v>
      </c>
      <c r="C14" s="77">
        <v>4903</v>
      </c>
      <c r="D14" s="77">
        <v>548</v>
      </c>
      <c r="E14" s="77">
        <v>5451</v>
      </c>
      <c r="F14" s="77">
        <v>4852</v>
      </c>
      <c r="G14" s="77">
        <v>514</v>
      </c>
      <c r="H14" s="77">
        <v>5366</v>
      </c>
      <c r="I14" s="77">
        <v>4810</v>
      </c>
      <c r="J14" s="77">
        <v>518</v>
      </c>
      <c r="K14" s="77">
        <v>5328</v>
      </c>
      <c r="L14" s="77">
        <v>4723</v>
      </c>
      <c r="M14" s="77">
        <v>537</v>
      </c>
      <c r="N14" s="77">
        <v>5260</v>
      </c>
      <c r="O14" s="77">
        <v>4381</v>
      </c>
      <c r="P14" s="77">
        <v>536</v>
      </c>
      <c r="Q14" s="77">
        <v>4917</v>
      </c>
      <c r="R14" s="77">
        <v>4110</v>
      </c>
      <c r="S14" s="77">
        <v>497</v>
      </c>
      <c r="T14" s="77">
        <v>4607</v>
      </c>
      <c r="U14" s="77">
        <v>3756</v>
      </c>
      <c r="V14" s="77">
        <v>464</v>
      </c>
      <c r="W14" s="77">
        <v>4220</v>
      </c>
      <c r="X14" s="77">
        <v>3406</v>
      </c>
      <c r="Y14" s="77">
        <v>421</v>
      </c>
      <c r="Z14" s="77">
        <v>3827</v>
      </c>
      <c r="AA14" s="77">
        <v>3027</v>
      </c>
      <c r="AB14" s="77">
        <v>398</v>
      </c>
      <c r="AC14" s="77">
        <v>3425</v>
      </c>
      <c r="AD14" s="77">
        <v>2742</v>
      </c>
      <c r="AE14" s="77">
        <v>420</v>
      </c>
      <c r="AF14" s="77">
        <v>3162</v>
      </c>
    </row>
    <row r="15" spans="2:32" x14ac:dyDescent="0.2">
      <c r="B15" s="76" t="s">
        <v>22</v>
      </c>
      <c r="C15" s="77">
        <v>2839</v>
      </c>
      <c r="D15" s="77">
        <v>572</v>
      </c>
      <c r="E15" s="77">
        <v>3411</v>
      </c>
      <c r="F15" s="77">
        <v>2747</v>
      </c>
      <c r="G15" s="77">
        <v>528</v>
      </c>
      <c r="H15" s="77">
        <v>3275</v>
      </c>
      <c r="I15" s="77">
        <v>2602</v>
      </c>
      <c r="J15" s="77">
        <v>529</v>
      </c>
      <c r="K15" s="77">
        <v>3131</v>
      </c>
      <c r="L15" s="77">
        <v>2477</v>
      </c>
      <c r="M15" s="77">
        <v>493</v>
      </c>
      <c r="N15" s="77">
        <v>2970</v>
      </c>
      <c r="O15" s="77">
        <v>2354</v>
      </c>
      <c r="P15" s="77">
        <v>398</v>
      </c>
      <c r="Q15" s="77">
        <v>2752</v>
      </c>
      <c r="R15" s="77">
        <v>2067</v>
      </c>
      <c r="S15" s="77">
        <v>322</v>
      </c>
      <c r="T15" s="77">
        <v>2389</v>
      </c>
      <c r="U15" s="77">
        <v>1928</v>
      </c>
      <c r="V15" s="77">
        <v>279</v>
      </c>
      <c r="W15" s="77">
        <v>2207</v>
      </c>
      <c r="X15" s="77">
        <v>1656</v>
      </c>
      <c r="Y15" s="77">
        <v>266</v>
      </c>
      <c r="Z15" s="77">
        <v>1922</v>
      </c>
      <c r="AA15" s="77">
        <v>1462</v>
      </c>
      <c r="AB15" s="77">
        <v>188</v>
      </c>
      <c r="AC15" s="77">
        <v>1650</v>
      </c>
      <c r="AD15" s="77">
        <v>1484</v>
      </c>
      <c r="AE15" s="77">
        <v>199</v>
      </c>
      <c r="AF15" s="77">
        <v>1683</v>
      </c>
    </row>
    <row r="16" spans="2:32" x14ac:dyDescent="0.2">
      <c r="B16" s="76" t="s">
        <v>23</v>
      </c>
      <c r="C16" s="77">
        <v>7222</v>
      </c>
      <c r="D16" s="77">
        <v>1507</v>
      </c>
      <c r="E16" s="77">
        <v>8729</v>
      </c>
      <c r="F16" s="77">
        <v>7104</v>
      </c>
      <c r="G16" s="77">
        <v>1621</v>
      </c>
      <c r="H16" s="77">
        <v>8725</v>
      </c>
      <c r="I16" s="77">
        <v>6942</v>
      </c>
      <c r="J16" s="77">
        <v>1426</v>
      </c>
      <c r="K16" s="77">
        <v>8368</v>
      </c>
      <c r="L16" s="77">
        <v>6832</v>
      </c>
      <c r="M16" s="77">
        <v>1447</v>
      </c>
      <c r="N16" s="77">
        <v>8279</v>
      </c>
      <c r="O16" s="77">
        <v>6604</v>
      </c>
      <c r="P16" s="77">
        <v>1443</v>
      </c>
      <c r="Q16" s="77">
        <v>8047</v>
      </c>
      <c r="R16" s="77">
        <v>6376</v>
      </c>
      <c r="S16" s="77">
        <v>1612</v>
      </c>
      <c r="T16" s="77">
        <v>7988</v>
      </c>
      <c r="U16" s="77">
        <v>6142</v>
      </c>
      <c r="V16" s="77">
        <v>1785</v>
      </c>
      <c r="W16" s="77">
        <v>7927</v>
      </c>
      <c r="X16" s="77">
        <v>5897</v>
      </c>
      <c r="Y16" s="77">
        <v>1851</v>
      </c>
      <c r="Z16" s="77">
        <v>7748</v>
      </c>
      <c r="AA16" s="77">
        <v>5789</v>
      </c>
      <c r="AB16" s="77">
        <v>1992</v>
      </c>
      <c r="AC16" s="77">
        <v>7781</v>
      </c>
      <c r="AD16" s="77">
        <v>5746</v>
      </c>
      <c r="AE16" s="77">
        <v>2071</v>
      </c>
      <c r="AF16" s="77">
        <v>7817</v>
      </c>
    </row>
    <row r="17" spans="2:32" x14ac:dyDescent="0.2">
      <c r="B17" s="76" t="s">
        <v>24</v>
      </c>
      <c r="C17" s="77">
        <v>7112</v>
      </c>
      <c r="D17" s="77">
        <v>1214</v>
      </c>
      <c r="E17" s="77">
        <v>8326</v>
      </c>
      <c r="F17" s="77">
        <v>7101</v>
      </c>
      <c r="G17" s="77">
        <v>1082</v>
      </c>
      <c r="H17" s="77">
        <v>8183</v>
      </c>
      <c r="I17" s="77">
        <v>6674</v>
      </c>
      <c r="J17" s="77">
        <v>1050</v>
      </c>
      <c r="K17" s="77">
        <v>7724</v>
      </c>
      <c r="L17" s="77">
        <v>6535</v>
      </c>
      <c r="M17" s="77">
        <v>1013</v>
      </c>
      <c r="N17" s="77">
        <v>7548</v>
      </c>
      <c r="O17" s="77">
        <v>6255</v>
      </c>
      <c r="P17" s="77">
        <v>1100</v>
      </c>
      <c r="Q17" s="77">
        <v>7355</v>
      </c>
      <c r="R17" s="77">
        <v>6030</v>
      </c>
      <c r="S17" s="77">
        <v>1028</v>
      </c>
      <c r="T17" s="77">
        <v>7058</v>
      </c>
      <c r="U17" s="77">
        <v>5905</v>
      </c>
      <c r="V17" s="77">
        <v>1084</v>
      </c>
      <c r="W17" s="77">
        <v>6989</v>
      </c>
      <c r="X17" s="77">
        <v>5441</v>
      </c>
      <c r="Y17" s="77">
        <v>1140</v>
      </c>
      <c r="Z17" s="77">
        <v>6581</v>
      </c>
      <c r="AA17" s="77">
        <v>5271</v>
      </c>
      <c r="AB17" s="77">
        <v>1137</v>
      </c>
      <c r="AC17" s="77">
        <v>6408</v>
      </c>
      <c r="AD17" s="77">
        <v>5119</v>
      </c>
      <c r="AE17" s="77">
        <v>977</v>
      </c>
      <c r="AF17" s="77">
        <v>6096</v>
      </c>
    </row>
    <row r="18" spans="2:32" x14ac:dyDescent="0.2">
      <c r="B18" s="76" t="s">
        <v>25</v>
      </c>
      <c r="C18" s="77">
        <v>7880</v>
      </c>
      <c r="D18" s="77">
        <v>972</v>
      </c>
      <c r="E18" s="77">
        <v>8852</v>
      </c>
      <c r="F18" s="77">
        <v>7839</v>
      </c>
      <c r="G18" s="77">
        <v>873</v>
      </c>
      <c r="H18" s="77">
        <v>8712</v>
      </c>
      <c r="I18" s="77">
        <v>7661</v>
      </c>
      <c r="J18" s="77">
        <v>898</v>
      </c>
      <c r="K18" s="77">
        <v>8559</v>
      </c>
      <c r="L18" s="77">
        <v>7411</v>
      </c>
      <c r="M18" s="77">
        <v>936</v>
      </c>
      <c r="N18" s="77">
        <v>8347</v>
      </c>
      <c r="O18" s="77">
        <v>7471</v>
      </c>
      <c r="P18" s="77">
        <v>1024</v>
      </c>
      <c r="Q18" s="77">
        <v>8495</v>
      </c>
      <c r="R18" s="77">
        <v>7427</v>
      </c>
      <c r="S18" s="77">
        <v>1201</v>
      </c>
      <c r="T18" s="77">
        <v>8628</v>
      </c>
      <c r="U18" s="77">
        <v>7621</v>
      </c>
      <c r="V18" s="77">
        <v>1260</v>
      </c>
      <c r="W18" s="77">
        <v>8881</v>
      </c>
      <c r="X18" s="77">
        <v>7676</v>
      </c>
      <c r="Y18" s="77">
        <v>1219</v>
      </c>
      <c r="Z18" s="77">
        <v>8895</v>
      </c>
      <c r="AA18" s="77">
        <v>7587</v>
      </c>
      <c r="AB18" s="77">
        <v>1237</v>
      </c>
      <c r="AC18" s="77">
        <v>8824</v>
      </c>
      <c r="AD18" s="77">
        <v>7517</v>
      </c>
      <c r="AE18" s="77">
        <v>1289</v>
      </c>
      <c r="AF18" s="77">
        <v>8806</v>
      </c>
    </row>
    <row r="19" spans="2:32" x14ac:dyDescent="0.2">
      <c r="B19" s="76" t="s">
        <v>26</v>
      </c>
      <c r="C19" s="77">
        <v>11934</v>
      </c>
      <c r="D19" s="77">
        <v>2556</v>
      </c>
      <c r="E19" s="77">
        <v>14490</v>
      </c>
      <c r="F19" s="77">
        <v>12445</v>
      </c>
      <c r="G19" s="77">
        <v>2655</v>
      </c>
      <c r="H19" s="77">
        <v>15100</v>
      </c>
      <c r="I19" s="77">
        <v>12891</v>
      </c>
      <c r="J19" s="77">
        <v>2520</v>
      </c>
      <c r="K19" s="77">
        <v>15411</v>
      </c>
      <c r="L19" s="77">
        <v>13250</v>
      </c>
      <c r="M19" s="77">
        <v>2595</v>
      </c>
      <c r="N19" s="77">
        <v>15845</v>
      </c>
      <c r="O19" s="77">
        <v>13403</v>
      </c>
      <c r="P19" s="77">
        <v>2683</v>
      </c>
      <c r="Q19" s="77">
        <v>16086</v>
      </c>
      <c r="R19" s="77">
        <v>13632</v>
      </c>
      <c r="S19" s="77">
        <v>2974</v>
      </c>
      <c r="T19" s="77">
        <v>16606</v>
      </c>
      <c r="U19" s="77">
        <v>13715</v>
      </c>
      <c r="V19" s="77">
        <v>3291</v>
      </c>
      <c r="W19" s="77">
        <v>17006</v>
      </c>
      <c r="X19" s="77">
        <v>13994</v>
      </c>
      <c r="Y19" s="77">
        <v>3342</v>
      </c>
      <c r="Z19" s="77">
        <v>17336</v>
      </c>
      <c r="AA19" s="77">
        <v>14079</v>
      </c>
      <c r="AB19" s="77">
        <v>3473</v>
      </c>
      <c r="AC19" s="77">
        <v>17552</v>
      </c>
      <c r="AD19" s="77">
        <v>14094</v>
      </c>
      <c r="AE19" s="77">
        <v>3597</v>
      </c>
      <c r="AF19" s="77">
        <v>17691</v>
      </c>
    </row>
    <row r="20" spans="2:32" x14ac:dyDescent="0.2">
      <c r="B20" s="20" t="s">
        <v>27</v>
      </c>
      <c r="C20" s="21">
        <f>SUBTOTAL(109,'FT - PT Enrollment Trend'!$C$6:$C$19)</f>
        <v>100486</v>
      </c>
      <c r="D20" s="21">
        <f>SUBTOTAL(109,'FT - PT Enrollment Trend'!$D$6:$D$19)</f>
        <v>19027</v>
      </c>
      <c r="E20" s="21">
        <f>SUBTOTAL(109,'FT - PT Enrollment Trend'!$E$6:$E$19)</f>
        <v>119513</v>
      </c>
      <c r="F20" s="21">
        <f>SUBTOTAL(109,'FT - PT Enrollment Trend'!$F$6:$F$19)</f>
        <v>100459</v>
      </c>
      <c r="G20" s="21">
        <f>SUBTOTAL(109,'FT - PT Enrollment Trend'!$G$6:$G$19)</f>
        <v>17765</v>
      </c>
      <c r="H20" s="21">
        <f>SUBTOTAL(109,'FT - PT Enrollment Trend'!$H$6:$H$19)</f>
        <v>118224</v>
      </c>
      <c r="I20" s="21">
        <f>SUBTOTAL(109,'FT - PT Enrollment Trend'!$I$6:$I$19)</f>
        <v>98037</v>
      </c>
      <c r="J20" s="21">
        <f>SUBTOTAL(109,'FT - PT Enrollment Trend'!$J$6:$J$19)</f>
        <v>16651</v>
      </c>
      <c r="K20" s="21">
        <f>SUBTOTAL(109,'FT - PT Enrollment Trend'!$K$6:$K$19)</f>
        <v>114688</v>
      </c>
      <c r="L20" s="21">
        <f>SUBTOTAL(109,'FT - PT Enrollment Trend'!$L$6:$L$19)</f>
        <v>95690</v>
      </c>
      <c r="M20" s="21">
        <f>SUBTOTAL(109,'FT - PT Enrollment Trend'!$M$6:$M$19)</f>
        <v>16535</v>
      </c>
      <c r="N20" s="21">
        <f>SUBTOTAL(109,'FT - PT Enrollment Trend'!$N$6:$N$19)</f>
        <v>112225</v>
      </c>
      <c r="O20" s="21">
        <f>SUBTOTAL(109,'FT - PT Enrollment Trend'!$O$6:$O$19)</f>
        <v>92973</v>
      </c>
      <c r="P20" s="21">
        <f>SUBTOTAL(109,'FT - PT Enrollment Trend'!$P$6:$P$19)</f>
        <v>16835</v>
      </c>
      <c r="Q20" s="21">
        <f>SUBTOTAL(109,'FT - PT Enrollment Trend'!$Q$6:$Q$19)</f>
        <v>109808</v>
      </c>
      <c r="R20" s="21">
        <f>SUBTOTAL(109,'FT - PT Enrollment Trend'!$R$6:$R$19)</f>
        <v>90023</v>
      </c>
      <c r="S20" s="21">
        <f>SUBTOTAL(109,'FT - PT Enrollment Trend'!$S$6:$S$19)</f>
        <v>17376</v>
      </c>
      <c r="T20" s="21">
        <f>SUBTOTAL(109,'FT - PT Enrollment Trend'!$T$6:$T$19)</f>
        <v>107399</v>
      </c>
      <c r="U20" s="21">
        <f>SUBTOTAL(109,'FT - PT Enrollment Trend'!$U$6:$U$19)</f>
        <v>87115</v>
      </c>
      <c r="V20" s="21">
        <f>SUBTOTAL(109,'FT - PT Enrollment Trend'!$V$6:$V$19)</f>
        <v>17934</v>
      </c>
      <c r="W20" s="21">
        <f>SUBTOTAL(109,'FT - PT Enrollment Trend'!$W$6:$W$19)</f>
        <v>105049</v>
      </c>
      <c r="X20" s="21">
        <f>SUBTOTAL(109,'FT - PT Enrollment Trend'!$X$6:$X$19)</f>
        <v>84274</v>
      </c>
      <c r="Y20" s="21">
        <f>SUBTOTAL(109,'FT - PT Enrollment Trend'!$Y$6:$Y$19)</f>
        <v>18298</v>
      </c>
      <c r="Z20" s="21">
        <f>SUBTOTAL(109,'FT - PT Enrollment Trend'!$Z$6:$Z$19)</f>
        <v>102572</v>
      </c>
      <c r="AA20" s="21">
        <f>SUBTOTAL(109,'FT - PT Enrollment Trend'!$AA$6:$AA$19)</f>
        <v>79918</v>
      </c>
      <c r="AB20" s="21">
        <f>SUBTOTAL(109,'FT - PT Enrollment Trend'!$AB$6:$AB$19)</f>
        <v>18445</v>
      </c>
      <c r="AC20" s="21">
        <f>SUBTOTAL(109,'FT - PT Enrollment Trend'!$AC$6:$AC$19)</f>
        <v>98363</v>
      </c>
      <c r="AD20" s="21">
        <f>SUBTOTAL(109,'FT - PT Enrollment Trend'!$AD$6:$AD$19)</f>
        <v>77012</v>
      </c>
      <c r="AE20" s="21">
        <f>SUBTOTAL(109,'FT - PT Enrollment Trend'!$AE$6:$AE$19)</f>
        <v>18790</v>
      </c>
      <c r="AF20" s="21">
        <f>SUBTOTAL(109,'FT - PT Enrollment Trend'!$AF$6:$AF$19)</f>
        <v>95802</v>
      </c>
    </row>
    <row r="23" spans="2:32" ht="15" x14ac:dyDescent="0.2">
      <c r="B23" s="131" t="s">
        <v>134</v>
      </c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</row>
    <row r="24" spans="2:32" x14ac:dyDescent="0.2">
      <c r="B24" s="134" t="s">
        <v>1</v>
      </c>
      <c r="C24" s="133" t="str">
        <f>CONCATENATE(IF(RIGHT(Parameters!B1,1) = "1","Fall ", "Spring "),IF(RIGHT(Parameters!B1,1) = "1",LEFT(Parameters!B1,4) -9, LEFT(Parameters!B1,4) - 8))</f>
        <v>Fall 2010</v>
      </c>
      <c r="D24" s="133"/>
      <c r="E24" s="133"/>
      <c r="F24" s="133" t="str">
        <f>CONCATENATE(IF(RIGHT(Parameters!B1,1) = "1","Fall ", "Spring "),IF(RIGHT(Parameters!B1,1) = "1",LEFT(Parameters!B1,4) -8, LEFT(Parameters!B1,4) - 7))</f>
        <v>Fall 2011</v>
      </c>
      <c r="G24" s="133"/>
      <c r="H24" s="133"/>
      <c r="I24" s="133" t="str">
        <f>CONCATENATE(IF(RIGHT(Parameters!B1,1) = "1","Fall ", "Spring "),IF(RIGHT(Parameters!B1,1) = "1",LEFT(Parameters!B1,4) -7, LEFT(Parameters!B1,4) - 6))</f>
        <v>Fall 2012</v>
      </c>
      <c r="J24" s="133"/>
      <c r="K24" s="133"/>
      <c r="L24" s="133" t="str">
        <f>CONCATENATE(IF(RIGHT(Parameters!B1,1) = "1","Fall ", "Spring "),IF(RIGHT(Parameters!B1,1) = "1",LEFT(Parameters!B1,4) -6, LEFT(Parameters!B1,4) - 5))</f>
        <v>Fall 2013</v>
      </c>
      <c r="M24" s="133"/>
      <c r="N24" s="133"/>
      <c r="O24" s="133" t="str">
        <f>CONCATENATE(IF(RIGHT(Parameters!B1,1) = "1","Fall ", "Spring "),IF(RIGHT(Parameters!B1,1) = "1",LEFT(Parameters!B1,4) -5, LEFT(Parameters!B1,4) - 4))</f>
        <v>Fall 2014</v>
      </c>
      <c r="P24" s="133"/>
      <c r="Q24" s="133"/>
      <c r="R24" s="133" t="str">
        <f>CONCATENATE(IF(RIGHT(Parameters!B1,1) = "1","Fall ", "Spring "),IF(RIGHT(Parameters!B1,1) = "1",LEFT(Parameters!B1,4) -4, LEFT(Parameters!B1,4) - 3))</f>
        <v>Fall 2015</v>
      </c>
      <c r="S24" s="133"/>
      <c r="T24" s="133"/>
      <c r="U24" s="133" t="str">
        <f>CONCATENATE(IF(RIGHT(Parameters!B1,1) = "1","Fall ", "Spring "),IF(RIGHT(Parameters!B1,1) = "1",LEFT(Parameters!B1,4) -3, LEFT(Parameters!B1,4) -2 ))</f>
        <v>Fall 2016</v>
      </c>
      <c r="V24" s="133"/>
      <c r="W24" s="133"/>
      <c r="X24" s="133" t="str">
        <f>CONCATENATE(IF(RIGHT(Parameters!B1,1) = "1","Fall ", "Spring "),IF(RIGHT(Parameters!B1,1) = "1",LEFT(Parameters!B1,4) -2, LEFT(Parameters!B1,4) -1 ))</f>
        <v>Fall 2017</v>
      </c>
      <c r="Y24" s="133"/>
      <c r="Z24" s="133"/>
      <c r="AA24" s="133" t="str">
        <f>CONCATENATE(IF(RIGHT(Parameters!B1,1) = "1","Fall ", "Spring "),IF(RIGHT(Parameters!B1,1) = "1",LEFT(Parameters!B1,4) -1, LEFT(Parameters!B1,4)  ))</f>
        <v>Fall 2018</v>
      </c>
      <c r="AB24" s="133"/>
      <c r="AC24" s="133"/>
      <c r="AD24" s="133" t="str">
        <f>CONCATENATE(IF(RIGHT(Parameters!B1,1) = "1","Fall ", "Spring "),IF(RIGHT(Parameters!B1,1) = "1",LEFT(Parameters!B1,4), LEFT(Parameters!B1,4) + 1))</f>
        <v>Fall 2019</v>
      </c>
      <c r="AE24" s="133"/>
      <c r="AF24" s="133"/>
    </row>
    <row r="25" spans="2:32" ht="28.5" customHeight="1" x14ac:dyDescent="0.2">
      <c r="B25" s="135"/>
      <c r="C25" s="54" t="s">
        <v>132</v>
      </c>
      <c r="D25" s="54" t="s">
        <v>133</v>
      </c>
      <c r="E25" s="54" t="s">
        <v>35</v>
      </c>
      <c r="F25" s="54" t="s">
        <v>132</v>
      </c>
      <c r="G25" s="54" t="s">
        <v>133</v>
      </c>
      <c r="H25" s="54" t="s">
        <v>35</v>
      </c>
      <c r="I25" s="54" t="s">
        <v>132</v>
      </c>
      <c r="J25" s="54" t="s">
        <v>133</v>
      </c>
      <c r="K25" s="54" t="s">
        <v>35</v>
      </c>
      <c r="L25" s="54" t="s">
        <v>132</v>
      </c>
      <c r="M25" s="54" t="s">
        <v>133</v>
      </c>
      <c r="N25" s="54" t="s">
        <v>35</v>
      </c>
      <c r="O25" s="54" t="s">
        <v>132</v>
      </c>
      <c r="P25" s="54" t="s">
        <v>133</v>
      </c>
      <c r="Q25" s="54" t="s">
        <v>35</v>
      </c>
      <c r="R25" s="54" t="s">
        <v>132</v>
      </c>
      <c r="S25" s="54" t="s">
        <v>133</v>
      </c>
      <c r="T25" s="54" t="s">
        <v>35</v>
      </c>
      <c r="U25" s="54" t="s">
        <v>132</v>
      </c>
      <c r="V25" s="54" t="s">
        <v>133</v>
      </c>
      <c r="W25" s="54" t="s">
        <v>35</v>
      </c>
      <c r="X25" s="54" t="s">
        <v>132</v>
      </c>
      <c r="Y25" s="54" t="s">
        <v>133</v>
      </c>
      <c r="Z25" s="54" t="s">
        <v>35</v>
      </c>
      <c r="AA25" s="54" t="s">
        <v>132</v>
      </c>
      <c r="AB25" s="54" t="s">
        <v>133</v>
      </c>
      <c r="AC25" s="54" t="s">
        <v>35</v>
      </c>
      <c r="AD25" s="54" t="s">
        <v>132</v>
      </c>
      <c r="AE25" s="54" t="s">
        <v>133</v>
      </c>
      <c r="AF25" s="54" t="s">
        <v>35</v>
      </c>
    </row>
    <row r="26" spans="2:32" ht="17.25" hidden="1" customHeight="1" thickBot="1" x14ac:dyDescent="0.25">
      <c r="B26" s="26" t="s">
        <v>2</v>
      </c>
      <c r="C26" s="26" t="s">
        <v>84</v>
      </c>
      <c r="D26" s="26" t="s">
        <v>85</v>
      </c>
      <c r="E26" s="26" t="s">
        <v>86</v>
      </c>
      <c r="F26" s="26" t="s">
        <v>87</v>
      </c>
      <c r="G26" s="26" t="s">
        <v>88</v>
      </c>
      <c r="H26" s="26" t="s">
        <v>89</v>
      </c>
      <c r="I26" s="26" t="s">
        <v>90</v>
      </c>
      <c r="J26" s="26" t="s">
        <v>91</v>
      </c>
      <c r="K26" s="26" t="s">
        <v>92</v>
      </c>
      <c r="L26" s="26" t="s">
        <v>93</v>
      </c>
      <c r="M26" s="26" t="s">
        <v>94</v>
      </c>
      <c r="N26" s="26" t="s">
        <v>95</v>
      </c>
      <c r="O26" s="26" t="s">
        <v>96</v>
      </c>
      <c r="P26" s="26" t="s">
        <v>97</v>
      </c>
      <c r="Q26" s="26" t="s">
        <v>98</v>
      </c>
      <c r="R26" s="26" t="s">
        <v>99</v>
      </c>
      <c r="S26" s="26" t="s">
        <v>100</v>
      </c>
      <c r="T26" s="26" t="s">
        <v>101</v>
      </c>
      <c r="U26" s="26" t="s">
        <v>102</v>
      </c>
      <c r="V26" s="26" t="s">
        <v>103</v>
      </c>
      <c r="W26" s="26" t="s">
        <v>104</v>
      </c>
      <c r="X26" s="26" t="s">
        <v>105</v>
      </c>
      <c r="Y26" s="26" t="s">
        <v>106</v>
      </c>
      <c r="Z26" s="26" t="s">
        <v>107</v>
      </c>
      <c r="AA26" s="26" t="s">
        <v>108</v>
      </c>
      <c r="AB26" s="26" t="s">
        <v>109</v>
      </c>
      <c r="AC26" s="26" t="s">
        <v>110</v>
      </c>
      <c r="AD26" s="26" t="s">
        <v>111</v>
      </c>
      <c r="AE26" s="26" t="s">
        <v>112</v>
      </c>
      <c r="AF26" s="26" t="s">
        <v>113</v>
      </c>
    </row>
    <row r="27" spans="2:32" x14ac:dyDescent="0.2">
      <c r="B27" s="67" t="s">
        <v>13</v>
      </c>
      <c r="C27" s="57">
        <v>8600</v>
      </c>
      <c r="D27" s="57">
        <v>536</v>
      </c>
      <c r="E27" s="57">
        <v>9136</v>
      </c>
      <c r="F27" s="57">
        <v>8686</v>
      </c>
      <c r="G27" s="57">
        <v>570</v>
      </c>
      <c r="H27" s="57">
        <v>9256</v>
      </c>
      <c r="I27" s="57">
        <v>8642</v>
      </c>
      <c r="J27" s="57">
        <v>561</v>
      </c>
      <c r="K27" s="57">
        <v>9203</v>
      </c>
      <c r="L27" s="57">
        <v>8813</v>
      </c>
      <c r="M27" s="57">
        <v>603</v>
      </c>
      <c r="N27" s="57">
        <v>9416</v>
      </c>
      <c r="O27" s="57">
        <v>8630</v>
      </c>
      <c r="P27" s="57">
        <v>689</v>
      </c>
      <c r="Q27" s="57">
        <v>9319</v>
      </c>
      <c r="R27" s="57">
        <v>8439</v>
      </c>
      <c r="S27" s="57">
        <v>719</v>
      </c>
      <c r="T27" s="57">
        <v>9158</v>
      </c>
      <c r="U27" s="57">
        <v>8274</v>
      </c>
      <c r="V27" s="57">
        <v>721</v>
      </c>
      <c r="W27" s="57">
        <v>8995</v>
      </c>
      <c r="X27" s="57">
        <v>7863</v>
      </c>
      <c r="Y27" s="57">
        <v>743</v>
      </c>
      <c r="Z27" s="57">
        <v>8606</v>
      </c>
      <c r="AA27" s="57">
        <v>7512</v>
      </c>
      <c r="AB27" s="57">
        <v>741</v>
      </c>
      <c r="AC27" s="57">
        <v>8253</v>
      </c>
      <c r="AD27" s="57">
        <v>7263</v>
      </c>
      <c r="AE27" s="57">
        <v>729</v>
      </c>
      <c r="AF27" s="57">
        <v>7992</v>
      </c>
    </row>
    <row r="28" spans="2:32" x14ac:dyDescent="0.2">
      <c r="B28" s="69" t="s">
        <v>14</v>
      </c>
      <c r="C28" s="59">
        <v>6653</v>
      </c>
      <c r="D28" s="59">
        <v>766</v>
      </c>
      <c r="E28" s="59">
        <v>7419</v>
      </c>
      <c r="F28" s="59">
        <v>6590</v>
      </c>
      <c r="G28" s="59">
        <v>827</v>
      </c>
      <c r="H28" s="59">
        <v>7417</v>
      </c>
      <c r="I28" s="59">
        <v>5821</v>
      </c>
      <c r="J28" s="59">
        <v>860</v>
      </c>
      <c r="K28" s="59">
        <v>6681</v>
      </c>
      <c r="L28" s="59">
        <v>5649</v>
      </c>
      <c r="M28" s="59">
        <v>801</v>
      </c>
      <c r="N28" s="59">
        <v>6450</v>
      </c>
      <c r="O28" s="59">
        <v>5330</v>
      </c>
      <c r="P28" s="59">
        <v>746</v>
      </c>
      <c r="Q28" s="59">
        <v>6076</v>
      </c>
      <c r="R28" s="59">
        <v>4995</v>
      </c>
      <c r="S28" s="59">
        <v>790</v>
      </c>
      <c r="T28" s="59">
        <v>5785</v>
      </c>
      <c r="U28" s="59">
        <v>4606</v>
      </c>
      <c r="V28" s="59">
        <v>916</v>
      </c>
      <c r="W28" s="59">
        <v>5522</v>
      </c>
      <c r="X28" s="59">
        <v>4534</v>
      </c>
      <c r="Y28" s="59">
        <v>1023</v>
      </c>
      <c r="Z28" s="59">
        <v>5557</v>
      </c>
      <c r="AA28" s="59">
        <v>4212</v>
      </c>
      <c r="AB28" s="59">
        <v>962</v>
      </c>
      <c r="AC28" s="59">
        <v>5174</v>
      </c>
      <c r="AD28" s="59">
        <v>3979</v>
      </c>
      <c r="AE28" s="59">
        <v>877</v>
      </c>
      <c r="AF28" s="59">
        <v>4856</v>
      </c>
    </row>
    <row r="29" spans="2:32" x14ac:dyDescent="0.2">
      <c r="B29" s="69" t="s">
        <v>15</v>
      </c>
      <c r="C29" s="59">
        <v>1355</v>
      </c>
      <c r="D29" s="59">
        <v>153</v>
      </c>
      <c r="E29" s="59">
        <v>1508</v>
      </c>
      <c r="F29" s="59">
        <v>1099</v>
      </c>
      <c r="G29" s="59">
        <v>42</v>
      </c>
      <c r="H29" s="59">
        <v>1141</v>
      </c>
      <c r="I29" s="59">
        <v>1160</v>
      </c>
      <c r="J29" s="59">
        <v>64</v>
      </c>
      <c r="K29" s="59">
        <v>1224</v>
      </c>
      <c r="L29" s="59">
        <v>1114</v>
      </c>
      <c r="M29" s="59">
        <v>65</v>
      </c>
      <c r="N29" s="59">
        <v>1179</v>
      </c>
      <c r="O29" s="59">
        <v>936</v>
      </c>
      <c r="P29" s="59">
        <v>61</v>
      </c>
      <c r="Q29" s="59">
        <v>997</v>
      </c>
      <c r="R29" s="59">
        <v>619</v>
      </c>
      <c r="S29" s="59">
        <v>67</v>
      </c>
      <c r="T29" s="59">
        <v>686</v>
      </c>
      <c r="U29" s="59">
        <v>657</v>
      </c>
      <c r="V29" s="59">
        <v>52</v>
      </c>
      <c r="W29" s="59">
        <v>709</v>
      </c>
      <c r="X29" s="59">
        <v>671</v>
      </c>
      <c r="Y29" s="59">
        <v>52</v>
      </c>
      <c r="Z29" s="59">
        <v>723</v>
      </c>
      <c r="AA29" s="59">
        <v>436</v>
      </c>
      <c r="AB29" s="59">
        <v>33</v>
      </c>
      <c r="AC29" s="59">
        <v>469</v>
      </c>
      <c r="AD29" s="59">
        <v>556</v>
      </c>
      <c r="AE29" s="59">
        <v>62</v>
      </c>
      <c r="AF29" s="59">
        <v>618</v>
      </c>
    </row>
    <row r="30" spans="2:32" x14ac:dyDescent="0.2">
      <c r="B30" s="69" t="s">
        <v>16</v>
      </c>
      <c r="C30" s="59">
        <v>5268</v>
      </c>
      <c r="D30" s="59">
        <v>957</v>
      </c>
      <c r="E30" s="59">
        <v>6225</v>
      </c>
      <c r="F30" s="59">
        <v>5022</v>
      </c>
      <c r="G30" s="59">
        <v>854</v>
      </c>
      <c r="H30" s="59">
        <v>5876</v>
      </c>
      <c r="I30" s="59">
        <v>4609</v>
      </c>
      <c r="J30" s="59">
        <v>909</v>
      </c>
      <c r="K30" s="59">
        <v>5518</v>
      </c>
      <c r="L30" s="59">
        <v>4373</v>
      </c>
      <c r="M30" s="59">
        <v>826</v>
      </c>
      <c r="N30" s="59">
        <v>5199</v>
      </c>
      <c r="O30" s="59">
        <v>4015</v>
      </c>
      <c r="P30" s="59">
        <v>891</v>
      </c>
      <c r="Q30" s="59">
        <v>4906</v>
      </c>
      <c r="R30" s="59">
        <v>3703</v>
      </c>
      <c r="S30" s="59">
        <v>852</v>
      </c>
      <c r="T30" s="59">
        <v>4555</v>
      </c>
      <c r="U30" s="59">
        <v>3567</v>
      </c>
      <c r="V30" s="59">
        <v>763</v>
      </c>
      <c r="W30" s="59">
        <v>4330</v>
      </c>
      <c r="X30" s="59">
        <v>3481</v>
      </c>
      <c r="Y30" s="59">
        <v>840</v>
      </c>
      <c r="Z30" s="59">
        <v>4321</v>
      </c>
      <c r="AA30" s="59">
        <v>3132</v>
      </c>
      <c r="AB30" s="59">
        <v>810</v>
      </c>
      <c r="AC30" s="59">
        <v>3942</v>
      </c>
      <c r="AD30" s="59">
        <v>2995</v>
      </c>
      <c r="AE30" s="59">
        <v>781</v>
      </c>
      <c r="AF30" s="59">
        <v>3776</v>
      </c>
    </row>
    <row r="31" spans="2:32" x14ac:dyDescent="0.2">
      <c r="B31" s="69" t="s">
        <v>17</v>
      </c>
      <c r="C31" s="59">
        <v>5802</v>
      </c>
      <c r="D31" s="59">
        <v>570</v>
      </c>
      <c r="E31" s="59">
        <v>6372</v>
      </c>
      <c r="F31" s="59">
        <v>6056</v>
      </c>
      <c r="G31" s="59">
        <v>600</v>
      </c>
      <c r="H31" s="59">
        <v>6656</v>
      </c>
      <c r="I31" s="59">
        <v>5741</v>
      </c>
      <c r="J31" s="59">
        <v>614</v>
      </c>
      <c r="K31" s="59">
        <v>6355</v>
      </c>
      <c r="L31" s="59">
        <v>5495</v>
      </c>
      <c r="M31" s="59">
        <v>691</v>
      </c>
      <c r="N31" s="59">
        <v>6186</v>
      </c>
      <c r="O31" s="59">
        <v>5643</v>
      </c>
      <c r="P31" s="59">
        <v>561</v>
      </c>
      <c r="Q31" s="59">
        <v>6204</v>
      </c>
      <c r="R31" s="59">
        <v>5644</v>
      </c>
      <c r="S31" s="59">
        <v>523</v>
      </c>
      <c r="T31" s="59">
        <v>6167</v>
      </c>
      <c r="U31" s="59">
        <v>5642</v>
      </c>
      <c r="V31" s="59">
        <v>517</v>
      </c>
      <c r="W31" s="59">
        <v>6159</v>
      </c>
      <c r="X31" s="59">
        <v>5552</v>
      </c>
      <c r="Y31" s="59">
        <v>499</v>
      </c>
      <c r="Z31" s="59">
        <v>6051</v>
      </c>
      <c r="AA31" s="59">
        <v>5243</v>
      </c>
      <c r="AB31" s="59">
        <v>470</v>
      </c>
      <c r="AC31" s="59">
        <v>5713</v>
      </c>
      <c r="AD31" s="59">
        <v>4941</v>
      </c>
      <c r="AE31" s="59">
        <v>476</v>
      </c>
      <c r="AF31" s="59">
        <v>5417</v>
      </c>
    </row>
    <row r="32" spans="2:32" x14ac:dyDescent="0.2">
      <c r="B32" s="69" t="s">
        <v>18</v>
      </c>
      <c r="C32" s="59">
        <v>6019</v>
      </c>
      <c r="D32" s="59">
        <v>678</v>
      </c>
      <c r="E32" s="59">
        <v>6697</v>
      </c>
      <c r="F32" s="59">
        <v>6024</v>
      </c>
      <c r="G32" s="59">
        <v>625</v>
      </c>
      <c r="H32" s="59">
        <v>6649</v>
      </c>
      <c r="I32" s="59">
        <v>5565</v>
      </c>
      <c r="J32" s="59">
        <v>525</v>
      </c>
      <c r="K32" s="59">
        <v>6090</v>
      </c>
      <c r="L32" s="59">
        <v>5320</v>
      </c>
      <c r="M32" s="59">
        <v>544</v>
      </c>
      <c r="N32" s="59">
        <v>5864</v>
      </c>
      <c r="O32" s="59">
        <v>5088</v>
      </c>
      <c r="P32" s="59">
        <v>507</v>
      </c>
      <c r="Q32" s="59">
        <v>5595</v>
      </c>
      <c r="R32" s="59">
        <v>4732</v>
      </c>
      <c r="S32" s="59">
        <v>515</v>
      </c>
      <c r="T32" s="59">
        <v>5247</v>
      </c>
      <c r="U32" s="59">
        <v>4350</v>
      </c>
      <c r="V32" s="59">
        <v>490</v>
      </c>
      <c r="W32" s="59">
        <v>4840</v>
      </c>
      <c r="X32" s="59">
        <v>3888</v>
      </c>
      <c r="Y32" s="59">
        <v>403</v>
      </c>
      <c r="Z32" s="59">
        <v>4291</v>
      </c>
      <c r="AA32" s="59">
        <v>3201</v>
      </c>
      <c r="AB32" s="59">
        <v>371</v>
      </c>
      <c r="AC32" s="59">
        <v>3572</v>
      </c>
      <c r="AD32" s="59">
        <v>2998</v>
      </c>
      <c r="AE32" s="59">
        <v>401</v>
      </c>
      <c r="AF32" s="59">
        <v>3399</v>
      </c>
    </row>
    <row r="33" spans="2:32" x14ac:dyDescent="0.2">
      <c r="B33" s="69" t="s">
        <v>19</v>
      </c>
      <c r="C33" s="59">
        <v>11932</v>
      </c>
      <c r="D33" s="59">
        <v>895</v>
      </c>
      <c r="E33" s="59">
        <v>12827</v>
      </c>
      <c r="F33" s="59">
        <v>12125</v>
      </c>
      <c r="G33" s="59">
        <v>818</v>
      </c>
      <c r="H33" s="59">
        <v>12943</v>
      </c>
      <c r="I33" s="59">
        <v>12409</v>
      </c>
      <c r="J33" s="59">
        <v>866</v>
      </c>
      <c r="K33" s="59">
        <v>13275</v>
      </c>
      <c r="L33" s="59">
        <v>11944</v>
      </c>
      <c r="M33" s="59">
        <v>724</v>
      </c>
      <c r="N33" s="59">
        <v>12668</v>
      </c>
      <c r="O33" s="59">
        <v>11473</v>
      </c>
      <c r="P33" s="59">
        <v>859</v>
      </c>
      <c r="Q33" s="59">
        <v>12332</v>
      </c>
      <c r="R33" s="59">
        <v>10905</v>
      </c>
      <c r="S33" s="59">
        <v>892</v>
      </c>
      <c r="T33" s="59">
        <v>11797</v>
      </c>
      <c r="U33" s="59">
        <v>10030</v>
      </c>
      <c r="V33" s="59">
        <v>849</v>
      </c>
      <c r="W33" s="59">
        <v>10879</v>
      </c>
      <c r="X33" s="59">
        <v>9526</v>
      </c>
      <c r="Y33" s="59">
        <v>863</v>
      </c>
      <c r="Z33" s="59">
        <v>10389</v>
      </c>
      <c r="AA33" s="59">
        <v>8583</v>
      </c>
      <c r="AB33" s="59">
        <v>888</v>
      </c>
      <c r="AC33" s="59">
        <v>9471</v>
      </c>
      <c r="AD33" s="59">
        <v>7706</v>
      </c>
      <c r="AE33" s="59">
        <v>861</v>
      </c>
      <c r="AF33" s="59">
        <v>8567</v>
      </c>
    </row>
    <row r="34" spans="2:32" x14ac:dyDescent="0.2">
      <c r="B34" s="69" t="s">
        <v>20</v>
      </c>
      <c r="C34" s="59">
        <v>8845</v>
      </c>
      <c r="D34" s="59">
        <v>880</v>
      </c>
      <c r="E34" s="59">
        <v>9725</v>
      </c>
      <c r="F34" s="59">
        <v>8852</v>
      </c>
      <c r="G34" s="59">
        <v>634</v>
      </c>
      <c r="H34" s="59">
        <v>9486</v>
      </c>
      <c r="I34" s="59">
        <v>8641</v>
      </c>
      <c r="J34" s="59">
        <v>494</v>
      </c>
      <c r="K34" s="59">
        <v>9135</v>
      </c>
      <c r="L34" s="59">
        <v>8279</v>
      </c>
      <c r="M34" s="59">
        <v>536</v>
      </c>
      <c r="N34" s="59">
        <v>8815</v>
      </c>
      <c r="O34" s="59">
        <v>8041</v>
      </c>
      <c r="P34" s="59">
        <v>521</v>
      </c>
      <c r="Q34" s="59">
        <v>8562</v>
      </c>
      <c r="R34" s="59">
        <v>7808</v>
      </c>
      <c r="S34" s="59">
        <v>485</v>
      </c>
      <c r="T34" s="59">
        <v>8293</v>
      </c>
      <c r="U34" s="59">
        <v>7288</v>
      </c>
      <c r="V34" s="59">
        <v>430</v>
      </c>
      <c r="W34" s="59">
        <v>7718</v>
      </c>
      <c r="X34" s="59">
        <v>7053</v>
      </c>
      <c r="Y34" s="59">
        <v>436</v>
      </c>
      <c r="Z34" s="59">
        <v>7489</v>
      </c>
      <c r="AA34" s="59">
        <v>6953</v>
      </c>
      <c r="AB34" s="59">
        <v>438</v>
      </c>
      <c r="AC34" s="59">
        <v>7391</v>
      </c>
      <c r="AD34" s="59">
        <v>6462</v>
      </c>
      <c r="AE34" s="59">
        <v>742</v>
      </c>
      <c r="AF34" s="59">
        <v>7204</v>
      </c>
    </row>
    <row r="35" spans="2:32" x14ac:dyDescent="0.2">
      <c r="B35" s="69" t="s">
        <v>21</v>
      </c>
      <c r="C35" s="59">
        <v>4766</v>
      </c>
      <c r="D35" s="59">
        <v>349</v>
      </c>
      <c r="E35" s="59">
        <v>5115</v>
      </c>
      <c r="F35" s="59">
        <v>4693</v>
      </c>
      <c r="G35" s="59">
        <v>336</v>
      </c>
      <c r="H35" s="59">
        <v>5029</v>
      </c>
      <c r="I35" s="59">
        <v>4638</v>
      </c>
      <c r="J35" s="59">
        <v>331</v>
      </c>
      <c r="K35" s="59">
        <v>4969</v>
      </c>
      <c r="L35" s="59">
        <v>4519</v>
      </c>
      <c r="M35" s="59">
        <v>336</v>
      </c>
      <c r="N35" s="59">
        <v>4855</v>
      </c>
      <c r="O35" s="59">
        <v>4165</v>
      </c>
      <c r="P35" s="59">
        <v>356</v>
      </c>
      <c r="Q35" s="59">
        <v>4521</v>
      </c>
      <c r="R35" s="59">
        <v>3894</v>
      </c>
      <c r="S35" s="59">
        <v>326</v>
      </c>
      <c r="T35" s="59">
        <v>4220</v>
      </c>
      <c r="U35" s="59">
        <v>3538</v>
      </c>
      <c r="V35" s="59">
        <v>307</v>
      </c>
      <c r="W35" s="59">
        <v>3845</v>
      </c>
      <c r="X35" s="59">
        <v>3176</v>
      </c>
      <c r="Y35" s="59">
        <v>296</v>
      </c>
      <c r="Z35" s="59">
        <v>3472</v>
      </c>
      <c r="AA35" s="59">
        <v>2798</v>
      </c>
      <c r="AB35" s="59">
        <v>269</v>
      </c>
      <c r="AC35" s="59">
        <v>3067</v>
      </c>
      <c r="AD35" s="59">
        <v>2484</v>
      </c>
      <c r="AE35" s="59">
        <v>268</v>
      </c>
      <c r="AF35" s="59">
        <v>2752</v>
      </c>
    </row>
    <row r="36" spans="2:32" x14ac:dyDescent="0.2">
      <c r="B36" s="69" t="s">
        <v>22</v>
      </c>
      <c r="C36" s="59">
        <v>2753</v>
      </c>
      <c r="D36" s="59">
        <v>192</v>
      </c>
      <c r="E36" s="59">
        <v>2945</v>
      </c>
      <c r="F36" s="59">
        <v>2667</v>
      </c>
      <c r="G36" s="59">
        <v>209</v>
      </c>
      <c r="H36" s="59">
        <v>2876</v>
      </c>
      <c r="I36" s="59">
        <v>2557</v>
      </c>
      <c r="J36" s="59">
        <v>267</v>
      </c>
      <c r="K36" s="59">
        <v>2824</v>
      </c>
      <c r="L36" s="59">
        <v>2453</v>
      </c>
      <c r="M36" s="59">
        <v>264</v>
      </c>
      <c r="N36" s="59">
        <v>2717</v>
      </c>
      <c r="O36" s="59">
        <v>2342</v>
      </c>
      <c r="P36" s="59">
        <v>245</v>
      </c>
      <c r="Q36" s="59">
        <v>2587</v>
      </c>
      <c r="R36" s="59">
        <v>2061</v>
      </c>
      <c r="S36" s="59">
        <v>207</v>
      </c>
      <c r="T36" s="59">
        <v>2268</v>
      </c>
      <c r="U36" s="59">
        <v>1923</v>
      </c>
      <c r="V36" s="59">
        <v>198</v>
      </c>
      <c r="W36" s="59">
        <v>2121</v>
      </c>
      <c r="X36" s="59">
        <v>1655</v>
      </c>
      <c r="Y36" s="59">
        <v>206</v>
      </c>
      <c r="Z36" s="59">
        <v>1861</v>
      </c>
      <c r="AA36" s="59">
        <v>1453</v>
      </c>
      <c r="AB36" s="59">
        <v>159</v>
      </c>
      <c r="AC36" s="59">
        <v>1612</v>
      </c>
      <c r="AD36" s="59">
        <v>1484</v>
      </c>
      <c r="AE36" s="59">
        <v>176</v>
      </c>
      <c r="AF36" s="59">
        <v>1660</v>
      </c>
    </row>
    <row r="37" spans="2:32" x14ac:dyDescent="0.2">
      <c r="B37" s="69" t="s">
        <v>23</v>
      </c>
      <c r="C37" s="59">
        <v>6908</v>
      </c>
      <c r="D37" s="59">
        <v>696</v>
      </c>
      <c r="E37" s="59">
        <v>7604</v>
      </c>
      <c r="F37" s="59">
        <v>6833</v>
      </c>
      <c r="G37" s="59">
        <v>811</v>
      </c>
      <c r="H37" s="59">
        <v>7644</v>
      </c>
      <c r="I37" s="59">
        <v>6675</v>
      </c>
      <c r="J37" s="59">
        <v>749</v>
      </c>
      <c r="K37" s="59">
        <v>7424</v>
      </c>
      <c r="L37" s="59">
        <v>6584</v>
      </c>
      <c r="M37" s="59">
        <v>804</v>
      </c>
      <c r="N37" s="59">
        <v>7388</v>
      </c>
      <c r="O37" s="59">
        <v>6358</v>
      </c>
      <c r="P37" s="59">
        <v>813</v>
      </c>
      <c r="Q37" s="59">
        <v>7171</v>
      </c>
      <c r="R37" s="59">
        <v>6151</v>
      </c>
      <c r="S37" s="59">
        <v>933</v>
      </c>
      <c r="T37" s="59">
        <v>7084</v>
      </c>
      <c r="U37" s="59">
        <v>5941</v>
      </c>
      <c r="V37" s="59">
        <v>1039</v>
      </c>
      <c r="W37" s="59">
        <v>6980</v>
      </c>
      <c r="X37" s="59">
        <v>5671</v>
      </c>
      <c r="Y37" s="59">
        <v>1107</v>
      </c>
      <c r="Z37" s="59">
        <v>6778</v>
      </c>
      <c r="AA37" s="59">
        <v>5558</v>
      </c>
      <c r="AB37" s="59">
        <v>1221</v>
      </c>
      <c r="AC37" s="59">
        <v>6779</v>
      </c>
      <c r="AD37" s="59">
        <v>5504</v>
      </c>
      <c r="AE37" s="59">
        <v>1290</v>
      </c>
      <c r="AF37" s="59">
        <v>6794</v>
      </c>
    </row>
    <row r="38" spans="2:32" x14ac:dyDescent="0.2">
      <c r="B38" s="69" t="s">
        <v>24</v>
      </c>
      <c r="C38" s="59">
        <v>6836</v>
      </c>
      <c r="D38" s="59">
        <v>307</v>
      </c>
      <c r="E38" s="59">
        <v>7143</v>
      </c>
      <c r="F38" s="59">
        <v>6812</v>
      </c>
      <c r="G38" s="59">
        <v>320</v>
      </c>
      <c r="H38" s="59">
        <v>7132</v>
      </c>
      <c r="I38" s="59">
        <v>6363</v>
      </c>
      <c r="J38" s="59">
        <v>349</v>
      </c>
      <c r="K38" s="59">
        <v>6712</v>
      </c>
      <c r="L38" s="59">
        <v>6219</v>
      </c>
      <c r="M38" s="59">
        <v>331</v>
      </c>
      <c r="N38" s="59">
        <v>6550</v>
      </c>
      <c r="O38" s="59">
        <v>5956</v>
      </c>
      <c r="P38" s="59">
        <v>349</v>
      </c>
      <c r="Q38" s="59">
        <v>6305</v>
      </c>
      <c r="R38" s="59">
        <v>5665</v>
      </c>
      <c r="S38" s="59">
        <v>362</v>
      </c>
      <c r="T38" s="59">
        <v>6027</v>
      </c>
      <c r="U38" s="59">
        <v>5545</v>
      </c>
      <c r="V38" s="59">
        <v>367</v>
      </c>
      <c r="W38" s="59">
        <v>5912</v>
      </c>
      <c r="X38" s="59">
        <v>5160</v>
      </c>
      <c r="Y38" s="59">
        <v>425</v>
      </c>
      <c r="Z38" s="59">
        <v>5585</v>
      </c>
      <c r="AA38" s="59">
        <v>5018</v>
      </c>
      <c r="AB38" s="59">
        <v>483</v>
      </c>
      <c r="AC38" s="59">
        <v>5501</v>
      </c>
      <c r="AD38" s="59">
        <v>4861</v>
      </c>
      <c r="AE38" s="59">
        <v>425</v>
      </c>
      <c r="AF38" s="59">
        <v>5286</v>
      </c>
    </row>
    <row r="39" spans="2:32" x14ac:dyDescent="0.2">
      <c r="B39" s="69" t="s">
        <v>25</v>
      </c>
      <c r="C39" s="59">
        <v>7437</v>
      </c>
      <c r="D39" s="59">
        <v>589</v>
      </c>
      <c r="E39" s="59">
        <v>8026</v>
      </c>
      <c r="F39" s="59">
        <v>7461</v>
      </c>
      <c r="G39" s="59">
        <v>500</v>
      </c>
      <c r="H39" s="59">
        <v>7961</v>
      </c>
      <c r="I39" s="59">
        <v>7308</v>
      </c>
      <c r="J39" s="59">
        <v>552</v>
      </c>
      <c r="K39" s="59">
        <v>7860</v>
      </c>
      <c r="L39" s="59">
        <v>7057</v>
      </c>
      <c r="M39" s="59">
        <v>538</v>
      </c>
      <c r="N39" s="59">
        <v>7595</v>
      </c>
      <c r="O39" s="59">
        <v>7059</v>
      </c>
      <c r="P39" s="59">
        <v>528</v>
      </c>
      <c r="Q39" s="59">
        <v>7587</v>
      </c>
      <c r="R39" s="59">
        <v>7057</v>
      </c>
      <c r="S39" s="59">
        <v>526</v>
      </c>
      <c r="T39" s="59">
        <v>7583</v>
      </c>
      <c r="U39" s="59">
        <v>7161</v>
      </c>
      <c r="V39" s="59">
        <v>503</v>
      </c>
      <c r="W39" s="59">
        <v>7664</v>
      </c>
      <c r="X39" s="59">
        <v>7125</v>
      </c>
      <c r="Y39" s="59">
        <v>513</v>
      </c>
      <c r="Z39" s="59">
        <v>7638</v>
      </c>
      <c r="AA39" s="59">
        <v>7032</v>
      </c>
      <c r="AB39" s="59">
        <v>506</v>
      </c>
      <c r="AC39" s="59">
        <v>7538</v>
      </c>
      <c r="AD39" s="59">
        <v>6968</v>
      </c>
      <c r="AE39" s="59">
        <v>500</v>
      </c>
      <c r="AF39" s="59">
        <v>7468</v>
      </c>
    </row>
    <row r="40" spans="2:32" x14ac:dyDescent="0.2">
      <c r="B40" s="71" t="s">
        <v>26</v>
      </c>
      <c r="C40" s="62">
        <v>11139</v>
      </c>
      <c r="D40" s="62">
        <v>1093</v>
      </c>
      <c r="E40" s="62">
        <v>12232</v>
      </c>
      <c r="F40" s="62">
        <v>11635</v>
      </c>
      <c r="G40" s="62">
        <v>1199</v>
      </c>
      <c r="H40" s="62">
        <v>12834</v>
      </c>
      <c r="I40" s="62">
        <v>12133</v>
      </c>
      <c r="J40" s="62">
        <v>1164</v>
      </c>
      <c r="K40" s="62">
        <v>13297</v>
      </c>
      <c r="L40" s="62">
        <v>12463</v>
      </c>
      <c r="M40" s="62">
        <v>1248</v>
      </c>
      <c r="N40" s="62">
        <v>13711</v>
      </c>
      <c r="O40" s="62">
        <v>12558</v>
      </c>
      <c r="P40" s="62">
        <v>1286</v>
      </c>
      <c r="Q40" s="62">
        <v>13844</v>
      </c>
      <c r="R40" s="62">
        <v>12772</v>
      </c>
      <c r="S40" s="62">
        <v>1449</v>
      </c>
      <c r="T40" s="62">
        <v>14221</v>
      </c>
      <c r="U40" s="62">
        <v>12823</v>
      </c>
      <c r="V40" s="62">
        <v>1575</v>
      </c>
      <c r="W40" s="62">
        <v>14398</v>
      </c>
      <c r="X40" s="62">
        <v>13020</v>
      </c>
      <c r="Y40" s="62">
        <v>1461</v>
      </c>
      <c r="Z40" s="62">
        <v>14481</v>
      </c>
      <c r="AA40" s="62">
        <v>13060</v>
      </c>
      <c r="AB40" s="62">
        <v>1532</v>
      </c>
      <c r="AC40" s="62">
        <v>14592</v>
      </c>
      <c r="AD40" s="62">
        <v>13044</v>
      </c>
      <c r="AE40" s="62">
        <v>1593</v>
      </c>
      <c r="AF40" s="62">
        <v>14637</v>
      </c>
    </row>
    <row r="41" spans="2:32" x14ac:dyDescent="0.2">
      <c r="B41" s="20" t="s">
        <v>27</v>
      </c>
      <c r="C41" s="21">
        <f>SUBTOTAL(109,'FT - PT Enrollment Trend'!$C$27:$C$40)</f>
        <v>94313</v>
      </c>
      <c r="D41" s="21">
        <f>SUBTOTAL(109,'FT - PT Enrollment Trend'!$D$27:$D$40)</f>
        <v>8661</v>
      </c>
      <c r="E41" s="21">
        <f>SUBTOTAL(109,'FT - PT Enrollment Trend'!$E$27:$E$40)</f>
        <v>102974</v>
      </c>
      <c r="F41" s="21">
        <f>SUBTOTAL(109,'FT - PT Enrollment Trend'!$F$27:$F$40)</f>
        <v>94555</v>
      </c>
      <c r="G41" s="21">
        <f>SUBTOTAL(109,'FT - PT Enrollment Trend'!$G$27:$G$40)</f>
        <v>8345</v>
      </c>
      <c r="H41" s="21">
        <f>SUBTOTAL(109,'FT - PT Enrollment Trend'!$H$27:$H$40)</f>
        <v>102900</v>
      </c>
      <c r="I41" s="21">
        <f>SUBTOTAL(109,'FT - PT Enrollment Trend'!$I$27:$I$40)</f>
        <v>92262</v>
      </c>
      <c r="J41" s="21">
        <f>SUBTOTAL(109,'FT - PT Enrollment Trend'!$J$27:$J$40)</f>
        <v>8305</v>
      </c>
      <c r="K41" s="21">
        <f>SUBTOTAL(109,'FT - PT Enrollment Trend'!$K$27:$K$40)</f>
        <v>100567</v>
      </c>
      <c r="L41" s="21">
        <f>SUBTOTAL(109,'FT - PT Enrollment Trend'!$L$27:$L$40)</f>
        <v>90282</v>
      </c>
      <c r="M41" s="21">
        <f>SUBTOTAL(109,'FT - PT Enrollment Trend'!$M$27:$M$40)</f>
        <v>8311</v>
      </c>
      <c r="N41" s="21">
        <f>SUBTOTAL(109,'FT - PT Enrollment Trend'!$N$27:$N$40)</f>
        <v>98593</v>
      </c>
      <c r="O41" s="21">
        <f>SUBTOTAL(109,'FT - PT Enrollment Trend'!$O$27:$O$40)</f>
        <v>87594</v>
      </c>
      <c r="P41" s="21">
        <f>SUBTOTAL(109,'FT - PT Enrollment Trend'!$P$27:$P$40)</f>
        <v>8412</v>
      </c>
      <c r="Q41" s="21">
        <f>SUBTOTAL(109,'FT - PT Enrollment Trend'!$Q$27:$Q$40)</f>
        <v>96006</v>
      </c>
      <c r="R41" s="21">
        <f>SUBTOTAL(109,'FT - PT Enrollment Trend'!$R$27:$R$40)</f>
        <v>84445</v>
      </c>
      <c r="S41" s="21">
        <f>SUBTOTAL(109,'FT - PT Enrollment Trend'!$S$27:$S$40)</f>
        <v>8646</v>
      </c>
      <c r="T41" s="21">
        <f>SUBTOTAL(109,'FT - PT Enrollment Trend'!$T$27:$T$40)</f>
        <v>93091</v>
      </c>
      <c r="U41" s="21">
        <f>SUBTOTAL(109,'FT - PT Enrollment Trend'!$U$27:$U$40)</f>
        <v>81345</v>
      </c>
      <c r="V41" s="21">
        <f>SUBTOTAL(109,'FT - PT Enrollment Trend'!$V$27:$V$40)</f>
        <v>8727</v>
      </c>
      <c r="W41" s="21">
        <f>SUBTOTAL(109,'FT - PT Enrollment Trend'!$W$27:$W$40)</f>
        <v>90072</v>
      </c>
      <c r="X41" s="21">
        <f>SUBTOTAL(109,'FT - PT Enrollment Trend'!$X$27:$X$40)</f>
        <v>78375</v>
      </c>
      <c r="Y41" s="21">
        <f>SUBTOTAL(109,'FT - PT Enrollment Trend'!$Y$27:$Y$40)</f>
        <v>8867</v>
      </c>
      <c r="Z41" s="21">
        <f>SUBTOTAL(109,'FT - PT Enrollment Trend'!$Z$27:$Z$40)</f>
        <v>87242</v>
      </c>
      <c r="AA41" s="21">
        <f>SUBTOTAL(109,'FT - PT Enrollment Trend'!$AA$27:$AA$40)</f>
        <v>74191</v>
      </c>
      <c r="AB41" s="21">
        <f>SUBTOTAL(109,'FT - PT Enrollment Trend'!$AB$27:$AB$40)</f>
        <v>8883</v>
      </c>
      <c r="AC41" s="21">
        <f>SUBTOTAL(109,'FT - PT Enrollment Trend'!$AC$27:$AC$40)</f>
        <v>83074</v>
      </c>
      <c r="AD41" s="21">
        <f>SUBTOTAL(109,'FT - PT Enrollment Trend'!$AD$27:$AD$40)</f>
        <v>71245</v>
      </c>
      <c r="AE41" s="21">
        <f>SUBTOTAL(109,'FT - PT Enrollment Trend'!$AE$27:$AE$40)</f>
        <v>9181</v>
      </c>
      <c r="AF41" s="21">
        <f>SUBTOTAL(109,'FT - PT Enrollment Trend'!$AF$27:$AF$40)</f>
        <v>80426</v>
      </c>
    </row>
    <row r="44" spans="2:32" ht="15" x14ac:dyDescent="0.2">
      <c r="B44" s="131" t="s">
        <v>135</v>
      </c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</row>
    <row r="45" spans="2:32" x14ac:dyDescent="0.2">
      <c r="B45" s="134" t="s">
        <v>1</v>
      </c>
      <c r="C45" s="133" t="str">
        <f>CONCATENATE(IF(RIGHT(Parameters!B1,1) = "1","Fall ", "Spring "),IF(RIGHT(Parameters!B1,1) = "1",LEFT(Parameters!B1,4) -9, LEFT(Parameters!B1,4) - 8))</f>
        <v>Fall 2010</v>
      </c>
      <c r="D45" s="133"/>
      <c r="E45" s="133"/>
      <c r="F45" s="133" t="str">
        <f>CONCATENATE(IF(RIGHT(Parameters!B1,1) = "1","Fall ", "Spring "),IF(RIGHT(Parameters!B1,1) = "1",LEFT(Parameters!B1,4) -8, LEFT(Parameters!B1,4) - 7))</f>
        <v>Fall 2011</v>
      </c>
      <c r="G45" s="133"/>
      <c r="H45" s="133"/>
      <c r="I45" s="133" t="str">
        <f>CONCATENATE(IF(RIGHT(Parameters!B1,1) = "1","Fall ", "Spring "),IF(RIGHT(Parameters!B1,1) = "1",LEFT(Parameters!B1,4) -7, LEFT(Parameters!B1,4) - 6))</f>
        <v>Fall 2012</v>
      </c>
      <c r="J45" s="133"/>
      <c r="K45" s="133"/>
      <c r="L45" s="133">
        <f>LEFT(Parameters!B1,4) - 6</f>
        <v>2013</v>
      </c>
      <c r="M45" s="133"/>
      <c r="N45" s="133"/>
      <c r="O45" s="133" t="str">
        <f>CONCATENATE(IF(RIGHT(Parameters!B1,1) = "1","Fall ", "Spring "),IF(RIGHT(Parameters!B1,1) = "1",LEFT(Parameters!B1,4) -5, LEFT(Parameters!B1,4) - 4))</f>
        <v>Fall 2014</v>
      </c>
      <c r="P45" s="133"/>
      <c r="Q45" s="133"/>
      <c r="R45" s="133" t="str">
        <f>CONCATENATE(IF(RIGHT(Parameters!B1,1) = "1","Fall ", "Spring "),IF(RIGHT(Parameters!B1,1) = "1",LEFT(Parameters!B1,4) -4, LEFT(Parameters!B1,4) - 3))</f>
        <v>Fall 2015</v>
      </c>
      <c r="S45" s="133"/>
      <c r="T45" s="133"/>
      <c r="U45" s="133" t="str">
        <f>CONCATENATE(IF(RIGHT(Parameters!B1,1) = "1","Fall ", "Spring "),IF(RIGHT(Parameters!B1,1) = "1",LEFT(Parameters!B1,4) -3, LEFT(Parameters!B1,4) -2 ))</f>
        <v>Fall 2016</v>
      </c>
      <c r="V45" s="133"/>
      <c r="W45" s="133"/>
      <c r="X45" s="133" t="str">
        <f>CONCATENATE(IF(RIGHT(Parameters!B1,1) = "1","Fall ", "Spring "),IF(RIGHT(Parameters!B1,1) = "1",LEFT(Parameters!B1,4) -2, LEFT(Parameters!B1,4) -1 ))</f>
        <v>Fall 2017</v>
      </c>
      <c r="Y45" s="133"/>
      <c r="Z45" s="133"/>
      <c r="AA45" s="133" t="str">
        <f>CONCATENATE(IF(RIGHT(Parameters!B1,1) = "1","Fall ", "Spring "),IF(RIGHT(Parameters!B1,1) = "1",LEFT(Parameters!B1,4) -1, LEFT(Parameters!B1,4)  ))</f>
        <v>Fall 2018</v>
      </c>
      <c r="AB45" s="133"/>
      <c r="AC45" s="133"/>
      <c r="AD45" s="133" t="str">
        <f>CONCATENATE(IF(RIGHT(Parameters!B1,1) = "1","Fall ", "Spring "),IF(RIGHT(Parameters!B1,1) = "1",LEFT(Parameters!B1,4), LEFT(Parameters!B1,4) + 1))</f>
        <v>Fall 2019</v>
      </c>
      <c r="AE45" s="133"/>
      <c r="AF45" s="133"/>
    </row>
    <row r="46" spans="2:32" ht="28.5" customHeight="1" x14ac:dyDescent="0.2">
      <c r="B46" s="135"/>
      <c r="C46" s="54" t="s">
        <v>132</v>
      </c>
      <c r="D46" s="54" t="s">
        <v>133</v>
      </c>
      <c r="E46" s="54" t="s">
        <v>35</v>
      </c>
      <c r="F46" s="54" t="s">
        <v>132</v>
      </c>
      <c r="G46" s="54" t="s">
        <v>133</v>
      </c>
      <c r="H46" s="54" t="s">
        <v>35</v>
      </c>
      <c r="I46" s="54" t="s">
        <v>132</v>
      </c>
      <c r="J46" s="54" t="s">
        <v>133</v>
      </c>
      <c r="K46" s="54" t="s">
        <v>35</v>
      </c>
      <c r="L46" s="54" t="s">
        <v>132</v>
      </c>
      <c r="M46" s="54" t="s">
        <v>133</v>
      </c>
      <c r="N46" s="54" t="s">
        <v>35</v>
      </c>
      <c r="O46" s="54" t="s">
        <v>132</v>
      </c>
      <c r="P46" s="54" t="s">
        <v>133</v>
      </c>
      <c r="Q46" s="54" t="s">
        <v>35</v>
      </c>
      <c r="R46" s="54" t="s">
        <v>132</v>
      </c>
      <c r="S46" s="54" t="s">
        <v>133</v>
      </c>
      <c r="T46" s="54" t="s">
        <v>35</v>
      </c>
      <c r="U46" s="54" t="s">
        <v>132</v>
      </c>
      <c r="V46" s="54" t="s">
        <v>133</v>
      </c>
      <c r="W46" s="54" t="s">
        <v>35</v>
      </c>
      <c r="X46" s="54" t="s">
        <v>132</v>
      </c>
      <c r="Y46" s="54" t="s">
        <v>133</v>
      </c>
      <c r="Z46" s="54" t="s">
        <v>35</v>
      </c>
      <c r="AA46" s="54" t="s">
        <v>132</v>
      </c>
      <c r="AB46" s="54" t="s">
        <v>133</v>
      </c>
      <c r="AC46" s="54" t="s">
        <v>35</v>
      </c>
      <c r="AD46" s="54" t="s">
        <v>132</v>
      </c>
      <c r="AE46" s="54" t="s">
        <v>133</v>
      </c>
      <c r="AF46" s="54" t="s">
        <v>35</v>
      </c>
    </row>
    <row r="47" spans="2:32" ht="17.25" hidden="1" customHeight="1" thickBot="1" x14ac:dyDescent="0.25">
      <c r="B47" s="26" t="s">
        <v>2</v>
      </c>
      <c r="C47" s="26" t="s">
        <v>84</v>
      </c>
      <c r="D47" s="26" t="s">
        <v>85</v>
      </c>
      <c r="E47" s="26" t="s">
        <v>86</v>
      </c>
      <c r="F47" s="26" t="s">
        <v>87</v>
      </c>
      <c r="G47" s="26" t="s">
        <v>88</v>
      </c>
      <c r="H47" s="26" t="s">
        <v>89</v>
      </c>
      <c r="I47" s="26" t="s">
        <v>90</v>
      </c>
      <c r="J47" s="26" t="s">
        <v>91</v>
      </c>
      <c r="K47" s="26" t="s">
        <v>92</v>
      </c>
      <c r="L47" s="26" t="s">
        <v>93</v>
      </c>
      <c r="M47" s="26" t="s">
        <v>94</v>
      </c>
      <c r="N47" s="26" t="s">
        <v>95</v>
      </c>
      <c r="O47" s="26" t="s">
        <v>96</v>
      </c>
      <c r="P47" s="26" t="s">
        <v>97</v>
      </c>
      <c r="Q47" s="26" t="s">
        <v>98</v>
      </c>
      <c r="R47" s="26" t="s">
        <v>99</v>
      </c>
      <c r="S47" s="26" t="s">
        <v>100</v>
      </c>
      <c r="T47" s="26" t="s">
        <v>101</v>
      </c>
      <c r="U47" s="26" t="s">
        <v>102</v>
      </c>
      <c r="V47" s="26" t="s">
        <v>103</v>
      </c>
      <c r="W47" s="26" t="s">
        <v>104</v>
      </c>
      <c r="X47" s="26" t="s">
        <v>105</v>
      </c>
      <c r="Y47" s="26" t="s">
        <v>106</v>
      </c>
      <c r="Z47" s="26" t="s">
        <v>107</v>
      </c>
      <c r="AA47" s="26" t="s">
        <v>108</v>
      </c>
      <c r="AB47" s="26" t="s">
        <v>109</v>
      </c>
      <c r="AC47" s="26" t="s">
        <v>110</v>
      </c>
      <c r="AD47" s="26" t="s">
        <v>111</v>
      </c>
      <c r="AE47" s="26" t="s">
        <v>112</v>
      </c>
      <c r="AF47" s="26" t="s">
        <v>113</v>
      </c>
    </row>
    <row r="48" spans="2:32" x14ac:dyDescent="0.2">
      <c r="B48" s="67" t="s">
        <v>13</v>
      </c>
      <c r="C48" s="57">
        <v>463</v>
      </c>
      <c r="D48" s="57">
        <v>492</v>
      </c>
      <c r="E48" s="57">
        <v>955</v>
      </c>
      <c r="F48" s="57">
        <v>456</v>
      </c>
      <c r="G48" s="57">
        <v>447</v>
      </c>
      <c r="H48" s="57">
        <v>903</v>
      </c>
      <c r="I48" s="57">
        <v>388</v>
      </c>
      <c r="J48" s="57">
        <v>359</v>
      </c>
      <c r="K48" s="57">
        <v>747</v>
      </c>
      <c r="L48" s="57">
        <v>342</v>
      </c>
      <c r="M48" s="57">
        <v>369</v>
      </c>
      <c r="N48" s="57">
        <v>711</v>
      </c>
      <c r="O48" s="57">
        <v>332</v>
      </c>
      <c r="P48" s="57">
        <v>347</v>
      </c>
      <c r="Q48" s="57">
        <v>679</v>
      </c>
      <c r="R48" s="57">
        <v>316</v>
      </c>
      <c r="S48" s="57">
        <v>303</v>
      </c>
      <c r="T48" s="57">
        <v>619</v>
      </c>
      <c r="U48" s="57">
        <v>336</v>
      </c>
      <c r="V48" s="57">
        <v>327</v>
      </c>
      <c r="W48" s="57">
        <v>663</v>
      </c>
      <c r="X48" s="57">
        <v>336</v>
      </c>
      <c r="Y48" s="57">
        <v>345</v>
      </c>
      <c r="Z48" s="57">
        <v>681</v>
      </c>
      <c r="AA48" s="57">
        <v>324</v>
      </c>
      <c r="AB48" s="57">
        <v>347</v>
      </c>
      <c r="AC48" s="57">
        <v>671</v>
      </c>
      <c r="AD48" s="57">
        <v>350</v>
      </c>
      <c r="AE48" s="57">
        <v>347</v>
      </c>
      <c r="AF48" s="57">
        <v>697</v>
      </c>
    </row>
    <row r="49" spans="2:32" x14ac:dyDescent="0.2">
      <c r="B49" s="69" t="s">
        <v>14</v>
      </c>
      <c r="C49" s="59">
        <v>1086</v>
      </c>
      <c r="D49" s="59">
        <v>895</v>
      </c>
      <c r="E49" s="59">
        <v>1981</v>
      </c>
      <c r="F49" s="59">
        <v>1065</v>
      </c>
      <c r="G49" s="59">
        <v>1001</v>
      </c>
      <c r="H49" s="59">
        <v>2066</v>
      </c>
      <c r="I49" s="59">
        <v>1011</v>
      </c>
      <c r="J49" s="59">
        <v>916</v>
      </c>
      <c r="K49" s="59">
        <v>1927</v>
      </c>
      <c r="L49" s="59">
        <v>878</v>
      </c>
      <c r="M49" s="59">
        <v>915</v>
      </c>
      <c r="N49" s="59">
        <v>1793</v>
      </c>
      <c r="O49" s="59">
        <v>861</v>
      </c>
      <c r="P49" s="59">
        <v>1041</v>
      </c>
      <c r="Q49" s="59">
        <v>1902</v>
      </c>
      <c r="R49" s="59">
        <v>862</v>
      </c>
      <c r="S49" s="59">
        <v>1207</v>
      </c>
      <c r="T49" s="59">
        <v>2069</v>
      </c>
      <c r="U49" s="59">
        <v>833</v>
      </c>
      <c r="V49" s="59">
        <v>1198</v>
      </c>
      <c r="W49" s="59">
        <v>2031</v>
      </c>
      <c r="X49" s="59">
        <v>890</v>
      </c>
      <c r="Y49" s="59">
        <v>1341</v>
      </c>
      <c r="Z49" s="59">
        <v>2231</v>
      </c>
      <c r="AA49" s="59">
        <v>789</v>
      </c>
      <c r="AB49" s="59">
        <v>1349</v>
      </c>
      <c r="AC49" s="59">
        <v>2138</v>
      </c>
      <c r="AD49" s="59">
        <v>748</v>
      </c>
      <c r="AE49" s="59">
        <v>1238</v>
      </c>
      <c r="AF49" s="59">
        <v>1986</v>
      </c>
    </row>
    <row r="50" spans="2:32" x14ac:dyDescent="0.2">
      <c r="B50" s="69" t="s">
        <v>15</v>
      </c>
      <c r="C50" s="59">
        <v>19</v>
      </c>
      <c r="D50" s="59">
        <v>59</v>
      </c>
      <c r="E50" s="59">
        <v>78</v>
      </c>
      <c r="F50" s="59">
        <v>27</v>
      </c>
      <c r="G50" s="59">
        <v>32</v>
      </c>
      <c r="H50" s="59">
        <v>59</v>
      </c>
      <c r="I50" s="59">
        <v>25</v>
      </c>
      <c r="J50" s="59">
        <v>35</v>
      </c>
      <c r="K50" s="59">
        <v>60</v>
      </c>
      <c r="L50" s="59">
        <v>9</v>
      </c>
      <c r="M50" s="59">
        <v>24</v>
      </c>
      <c r="N50" s="59">
        <v>33</v>
      </c>
      <c r="O50" s="59">
        <v>6</v>
      </c>
      <c r="P50" s="59">
        <v>19</v>
      </c>
      <c r="Q50" s="59">
        <v>25</v>
      </c>
      <c r="R50" s="59">
        <v>14</v>
      </c>
      <c r="S50" s="59">
        <v>11</v>
      </c>
      <c r="T50" s="59">
        <v>25</v>
      </c>
      <c r="U50" s="59">
        <v>22</v>
      </c>
      <c r="V50" s="59">
        <v>15</v>
      </c>
      <c r="W50" s="59">
        <v>37</v>
      </c>
      <c r="X50" s="59">
        <v>24</v>
      </c>
      <c r="Y50" s="59">
        <v>8</v>
      </c>
      <c r="Z50" s="59">
        <v>32</v>
      </c>
      <c r="AA50" s="59">
        <v>0</v>
      </c>
      <c r="AB50" s="59">
        <v>0</v>
      </c>
      <c r="AC50" s="59">
        <v>0</v>
      </c>
      <c r="AD50" s="59">
        <v>0</v>
      </c>
      <c r="AE50" s="59">
        <v>0</v>
      </c>
      <c r="AF50" s="59">
        <v>0</v>
      </c>
    </row>
    <row r="51" spans="2:32" x14ac:dyDescent="0.2">
      <c r="B51" s="69" t="s">
        <v>16</v>
      </c>
      <c r="C51" s="59">
        <v>276</v>
      </c>
      <c r="D51" s="59">
        <v>814</v>
      </c>
      <c r="E51" s="59">
        <v>1090</v>
      </c>
      <c r="F51" s="59">
        <v>304</v>
      </c>
      <c r="G51" s="59">
        <v>811</v>
      </c>
      <c r="H51" s="59">
        <v>1115</v>
      </c>
      <c r="I51" s="59">
        <v>285</v>
      </c>
      <c r="J51" s="59">
        <v>717</v>
      </c>
      <c r="K51" s="59">
        <v>1002</v>
      </c>
      <c r="L51" s="59">
        <v>207</v>
      </c>
      <c r="M51" s="59">
        <v>674</v>
      </c>
      <c r="N51" s="59">
        <v>881</v>
      </c>
      <c r="O51" s="59">
        <v>179</v>
      </c>
      <c r="P51" s="59">
        <v>627</v>
      </c>
      <c r="Q51" s="59">
        <v>806</v>
      </c>
      <c r="R51" s="59">
        <v>191</v>
      </c>
      <c r="S51" s="59">
        <v>622</v>
      </c>
      <c r="T51" s="59">
        <v>813</v>
      </c>
      <c r="U51" s="59">
        <v>230</v>
      </c>
      <c r="V51" s="59">
        <v>664</v>
      </c>
      <c r="W51" s="59">
        <v>894</v>
      </c>
      <c r="X51" s="59">
        <v>250</v>
      </c>
      <c r="Y51" s="59">
        <v>654</v>
      </c>
      <c r="Z51" s="59">
        <v>904</v>
      </c>
      <c r="AA51" s="59">
        <v>282</v>
      </c>
      <c r="AB51" s="59">
        <v>645</v>
      </c>
      <c r="AC51" s="59">
        <v>927</v>
      </c>
      <c r="AD51" s="59">
        <v>231</v>
      </c>
      <c r="AE51" s="59">
        <v>696</v>
      </c>
      <c r="AF51" s="59">
        <v>927</v>
      </c>
    </row>
    <row r="52" spans="2:32" x14ac:dyDescent="0.2">
      <c r="B52" s="69" t="s">
        <v>17</v>
      </c>
      <c r="C52" s="59">
        <v>403</v>
      </c>
      <c r="D52" s="59">
        <v>612</v>
      </c>
      <c r="E52" s="59">
        <v>1015</v>
      </c>
      <c r="F52" s="59">
        <v>341</v>
      </c>
      <c r="G52" s="59">
        <v>356</v>
      </c>
      <c r="H52" s="59">
        <v>697</v>
      </c>
      <c r="I52" s="59">
        <v>299</v>
      </c>
      <c r="J52" s="59">
        <v>289</v>
      </c>
      <c r="K52" s="59">
        <v>588</v>
      </c>
      <c r="L52" s="59">
        <v>299</v>
      </c>
      <c r="M52" s="59">
        <v>293</v>
      </c>
      <c r="N52" s="59">
        <v>592</v>
      </c>
      <c r="O52" s="59">
        <v>300</v>
      </c>
      <c r="P52" s="59">
        <v>316</v>
      </c>
      <c r="Q52" s="59">
        <v>616</v>
      </c>
      <c r="R52" s="59">
        <v>339</v>
      </c>
      <c r="S52" s="59">
        <v>322</v>
      </c>
      <c r="T52" s="59">
        <v>661</v>
      </c>
      <c r="U52" s="59">
        <v>294</v>
      </c>
      <c r="V52" s="59">
        <v>377</v>
      </c>
      <c r="W52" s="59">
        <v>671</v>
      </c>
      <c r="X52" s="59">
        <v>289</v>
      </c>
      <c r="Y52" s="59">
        <v>402</v>
      </c>
      <c r="Z52" s="59">
        <v>691</v>
      </c>
      <c r="AA52" s="59">
        <v>307</v>
      </c>
      <c r="AB52" s="59">
        <v>405</v>
      </c>
      <c r="AC52" s="59">
        <v>712</v>
      </c>
      <c r="AD52" s="59">
        <v>299</v>
      </c>
      <c r="AE52" s="59">
        <v>498</v>
      </c>
      <c r="AF52" s="59">
        <v>797</v>
      </c>
    </row>
    <row r="53" spans="2:32" x14ac:dyDescent="0.2">
      <c r="B53" s="69" t="s">
        <v>18</v>
      </c>
      <c r="C53" s="59">
        <v>556</v>
      </c>
      <c r="D53" s="59">
        <v>1389</v>
      </c>
      <c r="E53" s="59">
        <v>1945</v>
      </c>
      <c r="F53" s="59">
        <v>486</v>
      </c>
      <c r="G53" s="59">
        <v>1127</v>
      </c>
      <c r="H53" s="59">
        <v>1613</v>
      </c>
      <c r="I53" s="59">
        <v>513</v>
      </c>
      <c r="J53" s="59">
        <v>859</v>
      </c>
      <c r="K53" s="59">
        <v>1372</v>
      </c>
      <c r="L53" s="59">
        <v>450</v>
      </c>
      <c r="M53" s="59">
        <v>784</v>
      </c>
      <c r="N53" s="59">
        <v>1234</v>
      </c>
      <c r="O53" s="59">
        <v>516</v>
      </c>
      <c r="P53" s="59">
        <v>726</v>
      </c>
      <c r="Q53" s="59">
        <v>1242</v>
      </c>
      <c r="R53" s="59">
        <v>568</v>
      </c>
      <c r="S53" s="59">
        <v>735</v>
      </c>
      <c r="T53" s="59">
        <v>1303</v>
      </c>
      <c r="U53" s="59">
        <v>632</v>
      </c>
      <c r="V53" s="59">
        <v>709</v>
      </c>
      <c r="W53" s="59">
        <v>1341</v>
      </c>
      <c r="X53" s="59">
        <v>635</v>
      </c>
      <c r="Y53" s="59">
        <v>649</v>
      </c>
      <c r="Z53" s="59">
        <v>1284</v>
      </c>
      <c r="AA53" s="59">
        <v>639</v>
      </c>
      <c r="AB53" s="59">
        <v>623</v>
      </c>
      <c r="AC53" s="59">
        <v>1262</v>
      </c>
      <c r="AD53" s="59">
        <v>645</v>
      </c>
      <c r="AE53" s="59">
        <v>602</v>
      </c>
      <c r="AF53" s="59">
        <v>1247</v>
      </c>
    </row>
    <row r="54" spans="2:32" x14ac:dyDescent="0.2">
      <c r="B54" s="69" t="s">
        <v>19</v>
      </c>
      <c r="C54" s="59">
        <v>961</v>
      </c>
      <c r="D54" s="59">
        <v>1338</v>
      </c>
      <c r="E54" s="59">
        <v>2299</v>
      </c>
      <c r="F54" s="59">
        <v>973</v>
      </c>
      <c r="G54" s="59">
        <v>1216</v>
      </c>
      <c r="H54" s="59">
        <v>2189</v>
      </c>
      <c r="I54" s="59">
        <v>1098</v>
      </c>
      <c r="J54" s="59">
        <v>1223</v>
      </c>
      <c r="K54" s="59">
        <v>2321</v>
      </c>
      <c r="L54" s="59">
        <v>1021</v>
      </c>
      <c r="M54" s="59">
        <v>1236</v>
      </c>
      <c r="N54" s="59">
        <v>2257</v>
      </c>
      <c r="O54" s="59">
        <v>877</v>
      </c>
      <c r="P54" s="59">
        <v>1362</v>
      </c>
      <c r="Q54" s="59">
        <v>2239</v>
      </c>
      <c r="R54" s="59">
        <v>958</v>
      </c>
      <c r="S54" s="59">
        <v>1280</v>
      </c>
      <c r="T54" s="59">
        <v>2238</v>
      </c>
      <c r="U54" s="59">
        <v>1009</v>
      </c>
      <c r="V54" s="59">
        <v>1226</v>
      </c>
      <c r="W54" s="59">
        <v>2235</v>
      </c>
      <c r="X54" s="59">
        <v>919</v>
      </c>
      <c r="Y54" s="59">
        <v>1254</v>
      </c>
      <c r="Z54" s="59">
        <v>2173</v>
      </c>
      <c r="AA54" s="59">
        <v>794</v>
      </c>
      <c r="AB54" s="59">
        <v>1316</v>
      </c>
      <c r="AC54" s="59">
        <v>2110</v>
      </c>
      <c r="AD54" s="59">
        <v>817</v>
      </c>
      <c r="AE54" s="59">
        <v>1252</v>
      </c>
      <c r="AF54" s="59">
        <v>2069</v>
      </c>
    </row>
    <row r="55" spans="2:32" x14ac:dyDescent="0.2">
      <c r="B55" s="69" t="s">
        <v>20</v>
      </c>
      <c r="C55" s="59">
        <v>358</v>
      </c>
      <c r="D55" s="59">
        <v>624</v>
      </c>
      <c r="E55" s="59">
        <v>982</v>
      </c>
      <c r="F55" s="59">
        <v>265</v>
      </c>
      <c r="G55" s="59">
        <v>532</v>
      </c>
      <c r="H55" s="59">
        <v>797</v>
      </c>
      <c r="I55" s="59">
        <v>250</v>
      </c>
      <c r="J55" s="59">
        <v>419</v>
      </c>
      <c r="K55" s="59">
        <v>669</v>
      </c>
      <c r="L55" s="59">
        <v>269</v>
      </c>
      <c r="M55" s="59">
        <v>429</v>
      </c>
      <c r="N55" s="59">
        <v>698</v>
      </c>
      <c r="O55" s="59">
        <v>278</v>
      </c>
      <c r="P55" s="59">
        <v>378</v>
      </c>
      <c r="Q55" s="59">
        <v>656</v>
      </c>
      <c r="R55" s="59">
        <v>288</v>
      </c>
      <c r="S55" s="59">
        <v>419</v>
      </c>
      <c r="T55" s="59">
        <v>707</v>
      </c>
      <c r="U55" s="59">
        <v>278</v>
      </c>
      <c r="V55" s="59">
        <v>517</v>
      </c>
      <c r="W55" s="59">
        <v>795</v>
      </c>
      <c r="X55" s="59">
        <v>293</v>
      </c>
      <c r="Y55" s="59">
        <v>547</v>
      </c>
      <c r="Z55" s="59">
        <v>840</v>
      </c>
      <c r="AA55" s="59">
        <v>296</v>
      </c>
      <c r="AB55" s="59">
        <v>622</v>
      </c>
      <c r="AC55" s="59">
        <v>918</v>
      </c>
      <c r="AD55" s="59">
        <v>320</v>
      </c>
      <c r="AE55" s="59">
        <v>675</v>
      </c>
      <c r="AF55" s="59">
        <v>995</v>
      </c>
    </row>
    <row r="56" spans="2:32" x14ac:dyDescent="0.2">
      <c r="B56" s="69" t="s">
        <v>21</v>
      </c>
      <c r="C56" s="59">
        <v>137</v>
      </c>
      <c r="D56" s="59">
        <v>199</v>
      </c>
      <c r="E56" s="59">
        <v>336</v>
      </c>
      <c r="F56" s="59">
        <v>159</v>
      </c>
      <c r="G56" s="59">
        <v>178</v>
      </c>
      <c r="H56" s="59">
        <v>337</v>
      </c>
      <c r="I56" s="59">
        <v>172</v>
      </c>
      <c r="J56" s="59">
        <v>187</v>
      </c>
      <c r="K56" s="59">
        <v>359</v>
      </c>
      <c r="L56" s="59">
        <v>204</v>
      </c>
      <c r="M56" s="59">
        <v>201</v>
      </c>
      <c r="N56" s="59">
        <v>405</v>
      </c>
      <c r="O56" s="59">
        <v>216</v>
      </c>
      <c r="P56" s="59">
        <v>180</v>
      </c>
      <c r="Q56" s="59">
        <v>396</v>
      </c>
      <c r="R56" s="59">
        <v>216</v>
      </c>
      <c r="S56" s="59">
        <v>171</v>
      </c>
      <c r="T56" s="59">
        <v>387</v>
      </c>
      <c r="U56" s="59">
        <v>218</v>
      </c>
      <c r="V56" s="59">
        <v>157</v>
      </c>
      <c r="W56" s="59">
        <v>375</v>
      </c>
      <c r="X56" s="59">
        <v>230</v>
      </c>
      <c r="Y56" s="59">
        <v>125</v>
      </c>
      <c r="Z56" s="59">
        <v>355</v>
      </c>
      <c r="AA56" s="59">
        <v>229</v>
      </c>
      <c r="AB56" s="59">
        <v>129</v>
      </c>
      <c r="AC56" s="59">
        <v>358</v>
      </c>
      <c r="AD56" s="59">
        <v>258</v>
      </c>
      <c r="AE56" s="59">
        <v>152</v>
      </c>
      <c r="AF56" s="59">
        <v>410</v>
      </c>
    </row>
    <row r="57" spans="2:32" x14ac:dyDescent="0.2">
      <c r="B57" s="69" t="s">
        <v>22</v>
      </c>
      <c r="C57" s="59">
        <v>86</v>
      </c>
      <c r="D57" s="59">
        <v>380</v>
      </c>
      <c r="E57" s="59">
        <v>466</v>
      </c>
      <c r="F57" s="59">
        <v>80</v>
      </c>
      <c r="G57" s="59">
        <v>319</v>
      </c>
      <c r="H57" s="59">
        <v>399</v>
      </c>
      <c r="I57" s="59">
        <v>45</v>
      </c>
      <c r="J57" s="59">
        <v>262</v>
      </c>
      <c r="K57" s="59">
        <v>307</v>
      </c>
      <c r="L57" s="59">
        <v>24</v>
      </c>
      <c r="M57" s="59">
        <v>229</v>
      </c>
      <c r="N57" s="59">
        <v>253</v>
      </c>
      <c r="O57" s="59">
        <v>12</v>
      </c>
      <c r="P57" s="59">
        <v>153</v>
      </c>
      <c r="Q57" s="59">
        <v>165</v>
      </c>
      <c r="R57" s="59">
        <v>6</v>
      </c>
      <c r="S57" s="59">
        <v>115</v>
      </c>
      <c r="T57" s="59">
        <v>121</v>
      </c>
      <c r="U57" s="59">
        <v>5</v>
      </c>
      <c r="V57" s="59">
        <v>81</v>
      </c>
      <c r="W57" s="59">
        <v>86</v>
      </c>
      <c r="X57" s="59">
        <v>1</v>
      </c>
      <c r="Y57" s="59">
        <v>60</v>
      </c>
      <c r="Z57" s="59">
        <v>61</v>
      </c>
      <c r="AA57" s="59">
        <v>9</v>
      </c>
      <c r="AB57" s="59">
        <v>29</v>
      </c>
      <c r="AC57" s="59">
        <v>38</v>
      </c>
      <c r="AD57" s="59">
        <v>0</v>
      </c>
      <c r="AE57" s="59">
        <v>23</v>
      </c>
      <c r="AF57" s="59">
        <v>23</v>
      </c>
    </row>
    <row r="58" spans="2:32" x14ac:dyDescent="0.2">
      <c r="B58" s="69" t="s">
        <v>23</v>
      </c>
      <c r="C58" s="59">
        <v>314</v>
      </c>
      <c r="D58" s="59">
        <v>811</v>
      </c>
      <c r="E58" s="59">
        <v>1125</v>
      </c>
      <c r="F58" s="59">
        <v>271</v>
      </c>
      <c r="G58" s="59">
        <v>810</v>
      </c>
      <c r="H58" s="59">
        <v>1081</v>
      </c>
      <c r="I58" s="59">
        <v>267</v>
      </c>
      <c r="J58" s="59">
        <v>677</v>
      </c>
      <c r="K58" s="59">
        <v>944</v>
      </c>
      <c r="L58" s="59">
        <v>248</v>
      </c>
      <c r="M58" s="59">
        <v>643</v>
      </c>
      <c r="N58" s="59">
        <v>891</v>
      </c>
      <c r="O58" s="59">
        <v>246</v>
      </c>
      <c r="P58" s="59">
        <v>630</v>
      </c>
      <c r="Q58" s="59">
        <v>876</v>
      </c>
      <c r="R58" s="59">
        <v>225</v>
      </c>
      <c r="S58" s="59">
        <v>679</v>
      </c>
      <c r="T58" s="59">
        <v>904</v>
      </c>
      <c r="U58" s="59">
        <v>201</v>
      </c>
      <c r="V58" s="59">
        <v>746</v>
      </c>
      <c r="W58" s="59">
        <v>947</v>
      </c>
      <c r="X58" s="59">
        <v>226</v>
      </c>
      <c r="Y58" s="59">
        <v>744</v>
      </c>
      <c r="Z58" s="59">
        <v>970</v>
      </c>
      <c r="AA58" s="59">
        <v>231</v>
      </c>
      <c r="AB58" s="59">
        <v>771</v>
      </c>
      <c r="AC58" s="59">
        <v>1002</v>
      </c>
      <c r="AD58" s="59">
        <v>242</v>
      </c>
      <c r="AE58" s="59">
        <v>781</v>
      </c>
      <c r="AF58" s="59">
        <v>1023</v>
      </c>
    </row>
    <row r="59" spans="2:32" x14ac:dyDescent="0.2">
      <c r="B59" s="69" t="s">
        <v>24</v>
      </c>
      <c r="C59" s="59">
        <v>276</v>
      </c>
      <c r="D59" s="59">
        <v>907</v>
      </c>
      <c r="E59" s="59">
        <v>1183</v>
      </c>
      <c r="F59" s="59">
        <v>289</v>
      </c>
      <c r="G59" s="59">
        <v>762</v>
      </c>
      <c r="H59" s="59">
        <v>1051</v>
      </c>
      <c r="I59" s="59">
        <v>311</v>
      </c>
      <c r="J59" s="59">
        <v>701</v>
      </c>
      <c r="K59" s="59">
        <v>1012</v>
      </c>
      <c r="L59" s="59">
        <v>316</v>
      </c>
      <c r="M59" s="59">
        <v>682</v>
      </c>
      <c r="N59" s="59">
        <v>998</v>
      </c>
      <c r="O59" s="59">
        <v>299</v>
      </c>
      <c r="P59" s="59">
        <v>751</v>
      </c>
      <c r="Q59" s="59">
        <v>1050</v>
      </c>
      <c r="R59" s="59">
        <v>365</v>
      </c>
      <c r="S59" s="59">
        <v>666</v>
      </c>
      <c r="T59" s="59">
        <v>1031</v>
      </c>
      <c r="U59" s="59">
        <v>360</v>
      </c>
      <c r="V59" s="59">
        <v>717</v>
      </c>
      <c r="W59" s="59">
        <v>1077</v>
      </c>
      <c r="X59" s="59">
        <v>281</v>
      </c>
      <c r="Y59" s="59">
        <v>715</v>
      </c>
      <c r="Z59" s="59">
        <v>996</v>
      </c>
      <c r="AA59" s="59">
        <v>253</v>
      </c>
      <c r="AB59" s="59">
        <v>654</v>
      </c>
      <c r="AC59" s="59">
        <v>907</v>
      </c>
      <c r="AD59" s="59">
        <v>258</v>
      </c>
      <c r="AE59" s="59">
        <v>552</v>
      </c>
      <c r="AF59" s="59">
        <v>810</v>
      </c>
    </row>
    <row r="60" spans="2:32" x14ac:dyDescent="0.2">
      <c r="B60" s="69" t="s">
        <v>25</v>
      </c>
      <c r="C60" s="59">
        <v>443</v>
      </c>
      <c r="D60" s="59">
        <v>383</v>
      </c>
      <c r="E60" s="59">
        <v>826</v>
      </c>
      <c r="F60" s="59">
        <v>378</v>
      </c>
      <c r="G60" s="59">
        <v>373</v>
      </c>
      <c r="H60" s="59">
        <v>751</v>
      </c>
      <c r="I60" s="59">
        <v>353</v>
      </c>
      <c r="J60" s="59">
        <v>346</v>
      </c>
      <c r="K60" s="59">
        <v>699</v>
      </c>
      <c r="L60" s="59">
        <v>354</v>
      </c>
      <c r="M60" s="59">
        <v>398</v>
      </c>
      <c r="N60" s="59">
        <v>752</v>
      </c>
      <c r="O60" s="59">
        <v>412</v>
      </c>
      <c r="P60" s="59">
        <v>496</v>
      </c>
      <c r="Q60" s="59">
        <v>908</v>
      </c>
      <c r="R60" s="59">
        <v>370</v>
      </c>
      <c r="S60" s="59">
        <v>675</v>
      </c>
      <c r="T60" s="59">
        <v>1045</v>
      </c>
      <c r="U60" s="59">
        <v>460</v>
      </c>
      <c r="V60" s="59">
        <v>757</v>
      </c>
      <c r="W60" s="59">
        <v>1217</v>
      </c>
      <c r="X60" s="59">
        <v>551</v>
      </c>
      <c r="Y60" s="59">
        <v>706</v>
      </c>
      <c r="Z60" s="59">
        <v>1257</v>
      </c>
      <c r="AA60" s="59">
        <v>555</v>
      </c>
      <c r="AB60" s="59">
        <v>731</v>
      </c>
      <c r="AC60" s="59">
        <v>1286</v>
      </c>
      <c r="AD60" s="59">
        <v>549</v>
      </c>
      <c r="AE60" s="59">
        <v>789</v>
      </c>
      <c r="AF60" s="59">
        <v>1338</v>
      </c>
    </row>
    <row r="61" spans="2:32" x14ac:dyDescent="0.2">
      <c r="B61" s="71" t="s">
        <v>26</v>
      </c>
      <c r="C61" s="62">
        <v>795</v>
      </c>
      <c r="D61" s="62">
        <v>1463</v>
      </c>
      <c r="E61" s="62">
        <v>2258</v>
      </c>
      <c r="F61" s="62">
        <v>810</v>
      </c>
      <c r="G61" s="62">
        <v>1456</v>
      </c>
      <c r="H61" s="62">
        <v>2266</v>
      </c>
      <c r="I61" s="62">
        <v>758</v>
      </c>
      <c r="J61" s="62">
        <v>1356</v>
      </c>
      <c r="K61" s="62">
        <v>2114</v>
      </c>
      <c r="L61" s="62">
        <v>787</v>
      </c>
      <c r="M61" s="62">
        <v>1347</v>
      </c>
      <c r="N61" s="62">
        <v>2134</v>
      </c>
      <c r="O61" s="62">
        <v>845</v>
      </c>
      <c r="P61" s="62">
        <v>1397</v>
      </c>
      <c r="Q61" s="62">
        <v>2242</v>
      </c>
      <c r="R61" s="62">
        <v>860</v>
      </c>
      <c r="S61" s="62">
        <v>1525</v>
      </c>
      <c r="T61" s="62">
        <v>2385</v>
      </c>
      <c r="U61" s="62">
        <v>892</v>
      </c>
      <c r="V61" s="62">
        <v>1716</v>
      </c>
      <c r="W61" s="62">
        <v>2608</v>
      </c>
      <c r="X61" s="62">
        <v>974</v>
      </c>
      <c r="Y61" s="62">
        <v>1881</v>
      </c>
      <c r="Z61" s="62">
        <v>2855</v>
      </c>
      <c r="AA61" s="62">
        <v>1019</v>
      </c>
      <c r="AB61" s="62">
        <v>1941</v>
      </c>
      <c r="AC61" s="62">
        <v>2960</v>
      </c>
      <c r="AD61" s="62">
        <v>1050</v>
      </c>
      <c r="AE61" s="62">
        <v>2004</v>
      </c>
      <c r="AF61" s="62">
        <v>3054</v>
      </c>
    </row>
    <row r="62" spans="2:32" x14ac:dyDescent="0.2">
      <c r="B62" s="20" t="s">
        <v>27</v>
      </c>
      <c r="C62" s="21">
        <f>SUBTOTAL(109,'FT - PT Enrollment Trend'!$C$48:$C$61)</f>
        <v>6173</v>
      </c>
      <c r="D62" s="21">
        <f>SUBTOTAL(109,'FT - PT Enrollment Trend'!$D$48:$D$61)</f>
        <v>10366</v>
      </c>
      <c r="E62" s="21">
        <f>SUBTOTAL(109,'FT - PT Enrollment Trend'!$E$48:$E$61)</f>
        <v>16539</v>
      </c>
      <c r="F62" s="21">
        <f>SUBTOTAL(109,'FT - PT Enrollment Trend'!$F$48:$F$61)</f>
        <v>5904</v>
      </c>
      <c r="G62" s="21">
        <f>SUBTOTAL(109,'FT - PT Enrollment Trend'!$G$48:$G$61)</f>
        <v>9420</v>
      </c>
      <c r="H62" s="21">
        <f>SUBTOTAL(109,'FT - PT Enrollment Trend'!$H$48:$H$61)</f>
        <v>15324</v>
      </c>
      <c r="I62" s="21">
        <f>SUBTOTAL(109,'FT - PT Enrollment Trend'!$I$48:$I$61)</f>
        <v>5775</v>
      </c>
      <c r="J62" s="21">
        <f>SUBTOTAL(109,'FT - PT Enrollment Trend'!$J$48:$J$61)</f>
        <v>8346</v>
      </c>
      <c r="K62" s="21">
        <f>SUBTOTAL(109,'FT - PT Enrollment Trend'!$K$48:$K$61)</f>
        <v>14121</v>
      </c>
      <c r="L62" s="21">
        <f>SUBTOTAL(109,'FT - PT Enrollment Trend'!$L$48:$L$61)</f>
        <v>5408</v>
      </c>
      <c r="M62" s="21">
        <f>SUBTOTAL(109,'FT - PT Enrollment Trend'!$M$48:$M$61)</f>
        <v>8224</v>
      </c>
      <c r="N62" s="21">
        <f>SUBTOTAL(109,'FT - PT Enrollment Trend'!$N$48:$N$61)</f>
        <v>13632</v>
      </c>
      <c r="O62" s="21">
        <f>SUBTOTAL(109,'FT - PT Enrollment Trend'!$O$48:$O$61)</f>
        <v>5379</v>
      </c>
      <c r="P62" s="21">
        <f>SUBTOTAL(109,'FT - PT Enrollment Trend'!$P$48:$P$61)</f>
        <v>8423</v>
      </c>
      <c r="Q62" s="21">
        <f>SUBTOTAL(109,'FT - PT Enrollment Trend'!$Q$48:$Q$61)</f>
        <v>13802</v>
      </c>
      <c r="R62" s="21">
        <f>SUBTOTAL(109,'FT - PT Enrollment Trend'!$R$48:$R$61)</f>
        <v>5578</v>
      </c>
      <c r="S62" s="21">
        <f>SUBTOTAL(109,'FT - PT Enrollment Trend'!$S$48:$S$61)</f>
        <v>8730</v>
      </c>
      <c r="T62" s="21">
        <f>SUBTOTAL(109,'FT - PT Enrollment Trend'!$T$48:$T$61)</f>
        <v>14308</v>
      </c>
      <c r="U62" s="21">
        <f>SUBTOTAL(109,'FT - PT Enrollment Trend'!$U$48:$U$61)</f>
        <v>5770</v>
      </c>
      <c r="V62" s="21">
        <f>SUBTOTAL(109,'FT - PT Enrollment Trend'!$V$48:$V$61)</f>
        <v>9207</v>
      </c>
      <c r="W62" s="21">
        <f>SUBTOTAL(109,'FT - PT Enrollment Trend'!$W$48:$W$61)</f>
        <v>14977</v>
      </c>
      <c r="X62" s="21">
        <f>SUBTOTAL(109,'FT - PT Enrollment Trend'!$X$48:$X$61)</f>
        <v>5899</v>
      </c>
      <c r="Y62" s="21">
        <f>SUBTOTAL(109,'FT - PT Enrollment Trend'!$Y$48:$Y$61)</f>
        <v>9431</v>
      </c>
      <c r="Z62" s="21">
        <f>SUBTOTAL(109,'FT - PT Enrollment Trend'!$Z$48:$Z$61)</f>
        <v>15330</v>
      </c>
      <c r="AA62" s="21">
        <f>SUBTOTAL(109,'FT - PT Enrollment Trend'!$AA$48:$AA$61)</f>
        <v>5727</v>
      </c>
      <c r="AB62" s="21">
        <f>SUBTOTAL(109,'FT - PT Enrollment Trend'!$AB$48:$AB$61)</f>
        <v>9562</v>
      </c>
      <c r="AC62" s="21">
        <f>SUBTOTAL(109,'FT - PT Enrollment Trend'!$AC$48:$AC$61)</f>
        <v>15289</v>
      </c>
      <c r="AD62" s="21">
        <f>SUBTOTAL(109,'FT - PT Enrollment Trend'!$AD$48:$AD$61)</f>
        <v>5767</v>
      </c>
      <c r="AE62" s="21">
        <f>SUBTOTAL(109,'FT - PT Enrollment Trend'!$AE$48:$AE$61)</f>
        <v>9609</v>
      </c>
      <c r="AF62" s="21">
        <f>SUBTOTAL(109,'FT - PT Enrollment Trend'!$AF$48:$AF$61)</f>
        <v>15376</v>
      </c>
    </row>
    <row r="64" spans="2:32" x14ac:dyDescent="0.2">
      <c r="B64" s="6" t="s">
        <v>29</v>
      </c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</row>
    <row r="65" spans="2:2" x14ac:dyDescent="0.2">
      <c r="B65" s="9" t="s">
        <v>30</v>
      </c>
    </row>
    <row r="66" spans="2:2" x14ac:dyDescent="0.2">
      <c r="B66" s="9" t="s">
        <v>31</v>
      </c>
    </row>
  </sheetData>
  <mergeCells count="37">
    <mergeCell ref="B1:AF1"/>
    <mergeCell ref="B2:AF2"/>
    <mergeCell ref="C3:E3"/>
    <mergeCell ref="F3:H3"/>
    <mergeCell ref="I3:K3"/>
    <mergeCell ref="L3:N3"/>
    <mergeCell ref="O3:Q3"/>
    <mergeCell ref="R3:T3"/>
    <mergeCell ref="U3:W3"/>
    <mergeCell ref="X3:Z3"/>
    <mergeCell ref="AA3:AC3"/>
    <mergeCell ref="AD3:AF3"/>
    <mergeCell ref="B3:B4"/>
    <mergeCell ref="B23:AF23"/>
    <mergeCell ref="C24:E24"/>
    <mergeCell ref="F24:H24"/>
    <mergeCell ref="I24:K24"/>
    <mergeCell ref="L24:N24"/>
    <mergeCell ref="O24:Q24"/>
    <mergeCell ref="R24:T24"/>
    <mergeCell ref="U24:W24"/>
    <mergeCell ref="U45:W45"/>
    <mergeCell ref="X45:Z45"/>
    <mergeCell ref="AA45:AC45"/>
    <mergeCell ref="AD45:AF45"/>
    <mergeCell ref="X24:Z24"/>
    <mergeCell ref="AA24:AC24"/>
    <mergeCell ref="AD24:AF24"/>
    <mergeCell ref="B44:AF44"/>
    <mergeCell ref="C45:E45"/>
    <mergeCell ref="F45:H45"/>
    <mergeCell ref="I45:K45"/>
    <mergeCell ref="L45:N45"/>
    <mergeCell ref="O45:Q45"/>
    <mergeCell ref="R45:T45"/>
    <mergeCell ref="B24:B25"/>
    <mergeCell ref="B45:B46"/>
  </mergeCells>
  <printOptions horizontalCentered="1"/>
  <pageMargins left="0.5" right="0.5" top="1" bottom="0.5" header="0.3" footer="0.3"/>
  <pageSetup paperSize="17" scale="59" fitToHeight="0" orientation="landscape" r:id="rId1"/>
  <headerFooter>
    <oddHeader>&amp;L&amp;"Arial,Regular"&amp;10Pennsylvania's State System of Higher Education | &amp;D
Office of Educational Intelligence | Page &amp;P of &amp;N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B1:AF66"/>
  <sheetViews>
    <sheetView zoomScaleNormal="100" workbookViewId="0">
      <selection activeCell="B66" sqref="B66"/>
    </sheetView>
  </sheetViews>
  <sheetFormatPr defaultRowHeight="14.25" x14ac:dyDescent="0.2"/>
  <cols>
    <col min="1" max="1" width="9.140625" style="5"/>
    <col min="2" max="2" width="23.5703125" style="5" customWidth="1"/>
    <col min="3" max="32" width="10.7109375" style="5" customWidth="1"/>
    <col min="33" max="16384" width="9.140625" style="5"/>
  </cols>
  <sheetData>
    <row r="1" spans="2:32" ht="15" x14ac:dyDescent="0.2">
      <c r="B1" s="131" t="s">
        <v>0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</row>
    <row r="2" spans="2:32" ht="15" x14ac:dyDescent="0.2">
      <c r="B2" s="127" t="s">
        <v>136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</row>
    <row r="3" spans="2:32" x14ac:dyDescent="0.2">
      <c r="B3" s="134" t="s">
        <v>1</v>
      </c>
      <c r="C3" s="133" t="str">
        <f>CONCATENATE(IF(RIGHT(Parameters!B1,1) = "1","Fall ", "Spring "),IF(RIGHT(Parameters!B1,1) = "1",LEFT(Parameters!B1,4) -9, LEFT(Parameters!B1,4) - 8))</f>
        <v>Fall 2010</v>
      </c>
      <c r="D3" s="133"/>
      <c r="E3" s="133"/>
      <c r="F3" s="133" t="str">
        <f>CONCATENATE(IF(RIGHT(Parameters!B1,1) = "1","Fall ", "Spring "),IF(RIGHT(Parameters!B1,1) = "1",LEFT(Parameters!B1,4) -8, LEFT(Parameters!B1,4) - 7))</f>
        <v>Fall 2011</v>
      </c>
      <c r="G3" s="133"/>
      <c r="H3" s="133"/>
      <c r="I3" s="133" t="str">
        <f>CONCATENATE(IF(RIGHT(Parameters!B1,1) = "1","Fall ", "Spring "),IF(RIGHT(Parameters!B1,1) = "1",LEFT(Parameters!B1,4) -7, LEFT(Parameters!B1,4) - 6))</f>
        <v>Fall 2012</v>
      </c>
      <c r="J3" s="133"/>
      <c r="K3" s="133"/>
      <c r="L3" s="133" t="str">
        <f>CONCATENATE(IF(RIGHT(Parameters!B1,1) = "1","Fall ", "Spring "),IF(RIGHT(Parameters!B1,1) = "1",LEFT(Parameters!B1,4) -6, LEFT(Parameters!B1,4) - 5))</f>
        <v>Fall 2013</v>
      </c>
      <c r="M3" s="133"/>
      <c r="N3" s="133"/>
      <c r="O3" s="133" t="str">
        <f>CONCATENATE(IF(RIGHT(Parameters!B1,1) = "1","Fall ", "Spring "),IF(RIGHT(Parameters!B1,1) = "1",LEFT(Parameters!B1,4) -5, LEFT(Parameters!B1,4) - 4))</f>
        <v>Fall 2014</v>
      </c>
      <c r="P3" s="133"/>
      <c r="Q3" s="133"/>
      <c r="R3" s="133" t="str">
        <f>CONCATENATE(IF(RIGHT(Parameters!B1,1) = "1","Fall ", "Spring "),IF(RIGHT(Parameters!B1,1) = "1",LEFT(Parameters!B1,4) -4, LEFT(Parameters!B1,4) - 3))</f>
        <v>Fall 2015</v>
      </c>
      <c r="S3" s="133"/>
      <c r="T3" s="133"/>
      <c r="U3" s="133" t="str">
        <f>CONCATENATE(IF(RIGHT(Parameters!B1,1) = "1","Fall ", "Spring "),IF(RIGHT(Parameters!B1,1) = "1",LEFT(Parameters!B1,4) -3, LEFT(Parameters!B1,4) -2 ))</f>
        <v>Fall 2016</v>
      </c>
      <c r="V3" s="133"/>
      <c r="W3" s="133"/>
      <c r="X3" s="133" t="str">
        <f>CONCATENATE(IF(RIGHT(Parameters!B1,1) = "1","Fall ", "Spring "),IF(RIGHT(Parameters!B1,1) = "1",LEFT(Parameters!B1,4) -2, LEFT(Parameters!B1,4) -1 ))</f>
        <v>Fall 2017</v>
      </c>
      <c r="Y3" s="133"/>
      <c r="Z3" s="133"/>
      <c r="AA3" s="133" t="str">
        <f>CONCATENATE(IF(RIGHT(Parameters!B1,1) = "1","Fall ", "Spring "),IF(RIGHT(Parameters!B1,1) = "1",LEFT(Parameters!B1,4) -1, LEFT(Parameters!B1,4)  ))</f>
        <v>Fall 2018</v>
      </c>
      <c r="AB3" s="133"/>
      <c r="AC3" s="133"/>
      <c r="AD3" s="133" t="str">
        <f>CONCATENATE(IF(RIGHT(Parameters!B1,1) = "1","Fall ", "Spring "),IF(RIGHT(Parameters!B1,1) = "1",LEFT(Parameters!B1,4), LEFT(Parameters!B1,4) + 1))</f>
        <v>Fall 2019</v>
      </c>
      <c r="AE3" s="133"/>
      <c r="AF3" s="133"/>
    </row>
    <row r="4" spans="2:32" ht="28.5" x14ac:dyDescent="0.2">
      <c r="B4" s="135"/>
      <c r="C4" s="54" t="s">
        <v>137</v>
      </c>
      <c r="D4" s="54" t="s">
        <v>138</v>
      </c>
      <c r="E4" s="54" t="s">
        <v>35</v>
      </c>
      <c r="F4" s="54" t="s">
        <v>137</v>
      </c>
      <c r="G4" s="54" t="s">
        <v>138</v>
      </c>
      <c r="H4" s="54" t="s">
        <v>35</v>
      </c>
      <c r="I4" s="54" t="s">
        <v>137</v>
      </c>
      <c r="J4" s="54" t="s">
        <v>138</v>
      </c>
      <c r="K4" s="54" t="s">
        <v>35</v>
      </c>
      <c r="L4" s="54" t="s">
        <v>137</v>
      </c>
      <c r="M4" s="54" t="s">
        <v>138</v>
      </c>
      <c r="N4" s="54" t="s">
        <v>35</v>
      </c>
      <c r="O4" s="54" t="s">
        <v>137</v>
      </c>
      <c r="P4" s="54" t="s">
        <v>138</v>
      </c>
      <c r="Q4" s="54" t="s">
        <v>35</v>
      </c>
      <c r="R4" s="54" t="s">
        <v>137</v>
      </c>
      <c r="S4" s="54" t="s">
        <v>138</v>
      </c>
      <c r="T4" s="54" t="s">
        <v>35</v>
      </c>
      <c r="U4" s="54" t="s">
        <v>137</v>
      </c>
      <c r="V4" s="54" t="s">
        <v>138</v>
      </c>
      <c r="W4" s="54" t="s">
        <v>35</v>
      </c>
      <c r="X4" s="54" t="s">
        <v>137</v>
      </c>
      <c r="Y4" s="54" t="s">
        <v>138</v>
      </c>
      <c r="Z4" s="54" t="s">
        <v>35</v>
      </c>
      <c r="AA4" s="54" t="s">
        <v>137</v>
      </c>
      <c r="AB4" s="54" t="s">
        <v>138</v>
      </c>
      <c r="AC4" s="54" t="s">
        <v>35</v>
      </c>
      <c r="AD4" s="54" t="s">
        <v>137</v>
      </c>
      <c r="AE4" s="54" t="s">
        <v>138</v>
      </c>
      <c r="AF4" s="54" t="s">
        <v>35</v>
      </c>
    </row>
    <row r="5" spans="2:32" ht="17.25" hidden="1" customHeight="1" thickBot="1" x14ac:dyDescent="0.25">
      <c r="B5" s="26" t="s">
        <v>2</v>
      </c>
      <c r="C5" s="26" t="s">
        <v>139</v>
      </c>
      <c r="D5" s="26" t="s">
        <v>84</v>
      </c>
      <c r="E5" s="26" t="s">
        <v>86</v>
      </c>
      <c r="F5" s="26" t="s">
        <v>140</v>
      </c>
      <c r="G5" s="26" t="s">
        <v>87</v>
      </c>
      <c r="H5" s="26" t="s">
        <v>89</v>
      </c>
      <c r="I5" s="26" t="s">
        <v>141</v>
      </c>
      <c r="J5" s="26" t="s">
        <v>90</v>
      </c>
      <c r="K5" s="26" t="s">
        <v>92</v>
      </c>
      <c r="L5" s="26" t="s">
        <v>142</v>
      </c>
      <c r="M5" s="26" t="s">
        <v>93</v>
      </c>
      <c r="N5" s="26" t="s">
        <v>95</v>
      </c>
      <c r="O5" s="26" t="s">
        <v>143</v>
      </c>
      <c r="P5" s="26" t="s">
        <v>96</v>
      </c>
      <c r="Q5" s="26" t="s">
        <v>98</v>
      </c>
      <c r="R5" s="26" t="s">
        <v>144</v>
      </c>
      <c r="S5" s="26" t="s">
        <v>99</v>
      </c>
      <c r="T5" s="26" t="s">
        <v>101</v>
      </c>
      <c r="U5" s="26" t="s">
        <v>145</v>
      </c>
      <c r="V5" s="26" t="s">
        <v>102</v>
      </c>
      <c r="W5" s="26" t="s">
        <v>104</v>
      </c>
      <c r="X5" s="26" t="s">
        <v>146</v>
      </c>
      <c r="Y5" s="26" t="s">
        <v>105</v>
      </c>
      <c r="Z5" s="26" t="s">
        <v>147</v>
      </c>
      <c r="AA5" s="26" t="s">
        <v>148</v>
      </c>
      <c r="AB5" s="26" t="s">
        <v>108</v>
      </c>
      <c r="AC5" s="26" t="s">
        <v>110</v>
      </c>
      <c r="AD5" s="26" t="s">
        <v>149</v>
      </c>
      <c r="AE5" s="26" t="s">
        <v>111</v>
      </c>
      <c r="AF5" s="26" t="s">
        <v>113</v>
      </c>
    </row>
    <row r="6" spans="2:32" x14ac:dyDescent="0.2">
      <c r="B6" s="67" t="s">
        <v>13</v>
      </c>
      <c r="C6" s="57">
        <v>9756</v>
      </c>
      <c r="D6" s="57">
        <v>335</v>
      </c>
      <c r="E6" s="57">
        <v>10091</v>
      </c>
      <c r="F6" s="57">
        <v>9884</v>
      </c>
      <c r="G6" s="57">
        <v>275</v>
      </c>
      <c r="H6" s="57">
        <v>10159</v>
      </c>
      <c r="I6" s="57">
        <v>9756</v>
      </c>
      <c r="J6" s="57">
        <v>194</v>
      </c>
      <c r="K6" s="57">
        <v>9950</v>
      </c>
      <c r="L6" s="57">
        <v>9916</v>
      </c>
      <c r="M6" s="57">
        <v>211</v>
      </c>
      <c r="N6" s="57">
        <v>10127</v>
      </c>
      <c r="O6" s="57">
        <v>9760</v>
      </c>
      <c r="P6" s="57">
        <v>238</v>
      </c>
      <c r="Q6" s="57">
        <v>9998</v>
      </c>
      <c r="R6" s="57">
        <v>9525</v>
      </c>
      <c r="S6" s="57">
        <v>252</v>
      </c>
      <c r="T6" s="57">
        <v>9777</v>
      </c>
      <c r="U6" s="57">
        <v>9378</v>
      </c>
      <c r="V6" s="57">
        <v>280</v>
      </c>
      <c r="W6" s="57">
        <v>9658</v>
      </c>
      <c r="X6" s="57">
        <v>8966</v>
      </c>
      <c r="Y6" s="57">
        <v>321</v>
      </c>
      <c r="Z6" s="57">
        <v>9287</v>
      </c>
      <c r="AA6" s="57">
        <v>8593</v>
      </c>
      <c r="AB6" s="57">
        <v>331</v>
      </c>
      <c r="AC6" s="57">
        <v>8924</v>
      </c>
      <c r="AD6" s="57">
        <v>8343</v>
      </c>
      <c r="AE6" s="57">
        <v>346</v>
      </c>
      <c r="AF6" s="57">
        <v>8689</v>
      </c>
    </row>
    <row r="7" spans="2:32" x14ac:dyDescent="0.2">
      <c r="B7" s="69" t="s">
        <v>14</v>
      </c>
      <c r="C7" s="59">
        <v>9345</v>
      </c>
      <c r="D7" s="59">
        <v>55</v>
      </c>
      <c r="E7" s="59">
        <v>9400</v>
      </c>
      <c r="F7" s="59">
        <v>9427</v>
      </c>
      <c r="G7" s="59">
        <v>56</v>
      </c>
      <c r="H7" s="59">
        <v>9483</v>
      </c>
      <c r="I7" s="59">
        <v>8566</v>
      </c>
      <c r="J7" s="59">
        <v>42</v>
      </c>
      <c r="K7" s="59">
        <v>8608</v>
      </c>
      <c r="L7" s="59">
        <v>8186</v>
      </c>
      <c r="M7" s="59">
        <v>57</v>
      </c>
      <c r="N7" s="59">
        <v>8243</v>
      </c>
      <c r="O7" s="59">
        <v>7793</v>
      </c>
      <c r="P7" s="59">
        <v>185</v>
      </c>
      <c r="Q7" s="59">
        <v>7978</v>
      </c>
      <c r="R7" s="59">
        <v>7677</v>
      </c>
      <c r="S7" s="59">
        <v>177</v>
      </c>
      <c r="T7" s="59">
        <v>7854</v>
      </c>
      <c r="U7" s="59">
        <v>7389</v>
      </c>
      <c r="V7" s="59">
        <v>164</v>
      </c>
      <c r="W7" s="59">
        <v>7553</v>
      </c>
      <c r="X7" s="59">
        <v>7624</v>
      </c>
      <c r="Y7" s="59">
        <v>164</v>
      </c>
      <c r="Z7" s="59">
        <v>7788</v>
      </c>
      <c r="AA7" s="59">
        <v>7156</v>
      </c>
      <c r="AB7" s="59">
        <v>156</v>
      </c>
      <c r="AC7" s="59">
        <v>7312</v>
      </c>
      <c r="AD7" s="59">
        <v>6703</v>
      </c>
      <c r="AE7" s="59">
        <v>139</v>
      </c>
      <c r="AF7" s="59">
        <v>6842</v>
      </c>
    </row>
    <row r="8" spans="2:32" x14ac:dyDescent="0.2">
      <c r="B8" s="69" t="s">
        <v>15</v>
      </c>
      <c r="C8" s="59">
        <v>1520</v>
      </c>
      <c r="D8" s="59">
        <v>66</v>
      </c>
      <c r="E8" s="59">
        <v>1586</v>
      </c>
      <c r="F8" s="59">
        <v>1161</v>
      </c>
      <c r="G8" s="59">
        <v>39</v>
      </c>
      <c r="H8" s="59">
        <v>1200</v>
      </c>
      <c r="I8" s="59">
        <v>1270</v>
      </c>
      <c r="J8" s="59">
        <v>14</v>
      </c>
      <c r="K8" s="59">
        <v>1284</v>
      </c>
      <c r="L8" s="59">
        <v>1211</v>
      </c>
      <c r="M8" s="59">
        <v>1</v>
      </c>
      <c r="N8" s="59">
        <v>1212</v>
      </c>
      <c r="O8" s="59">
        <v>1022</v>
      </c>
      <c r="P8" s="59">
        <v>0</v>
      </c>
      <c r="Q8" s="59">
        <v>1022</v>
      </c>
      <c r="R8" s="59">
        <v>711</v>
      </c>
      <c r="S8" s="59">
        <v>0</v>
      </c>
      <c r="T8" s="59">
        <v>711</v>
      </c>
      <c r="U8" s="59">
        <v>745</v>
      </c>
      <c r="V8" s="59">
        <v>1</v>
      </c>
      <c r="W8" s="59">
        <v>746</v>
      </c>
      <c r="X8" s="59">
        <v>754</v>
      </c>
      <c r="Y8" s="59">
        <v>1</v>
      </c>
      <c r="Z8" s="59">
        <v>755</v>
      </c>
      <c r="AA8" s="59">
        <v>469</v>
      </c>
      <c r="AB8" s="59">
        <v>0</v>
      </c>
      <c r="AC8" s="59">
        <v>469</v>
      </c>
      <c r="AD8" s="59">
        <v>589</v>
      </c>
      <c r="AE8" s="59">
        <v>29</v>
      </c>
      <c r="AF8" s="59">
        <v>618</v>
      </c>
    </row>
    <row r="9" spans="2:32" x14ac:dyDescent="0.2">
      <c r="B9" s="69" t="s">
        <v>16</v>
      </c>
      <c r="C9" s="59">
        <v>6863</v>
      </c>
      <c r="D9" s="59">
        <v>452</v>
      </c>
      <c r="E9" s="59">
        <v>7315</v>
      </c>
      <c r="F9" s="59">
        <v>6823</v>
      </c>
      <c r="G9" s="59">
        <v>168</v>
      </c>
      <c r="H9" s="59">
        <v>6991</v>
      </c>
      <c r="I9" s="59">
        <v>6332</v>
      </c>
      <c r="J9" s="59">
        <v>188</v>
      </c>
      <c r="K9" s="59">
        <v>6520</v>
      </c>
      <c r="L9" s="59">
        <v>5910</v>
      </c>
      <c r="M9" s="59">
        <v>170</v>
      </c>
      <c r="N9" s="59">
        <v>6080</v>
      </c>
      <c r="O9" s="59">
        <v>5541</v>
      </c>
      <c r="P9" s="59">
        <v>171</v>
      </c>
      <c r="Q9" s="59">
        <v>5712</v>
      </c>
      <c r="R9" s="59">
        <v>5208</v>
      </c>
      <c r="S9" s="59">
        <v>160</v>
      </c>
      <c r="T9" s="59">
        <v>5368</v>
      </c>
      <c r="U9" s="59">
        <v>5136</v>
      </c>
      <c r="V9" s="59">
        <v>88</v>
      </c>
      <c r="W9" s="59">
        <v>5224</v>
      </c>
      <c r="X9" s="59">
        <v>5108</v>
      </c>
      <c r="Y9" s="59">
        <v>117</v>
      </c>
      <c r="Z9" s="59">
        <v>5225</v>
      </c>
      <c r="AA9" s="59">
        <v>4776</v>
      </c>
      <c r="AB9" s="59">
        <v>93</v>
      </c>
      <c r="AC9" s="59">
        <v>4869</v>
      </c>
      <c r="AD9" s="59">
        <v>4571</v>
      </c>
      <c r="AE9" s="59">
        <v>132</v>
      </c>
      <c r="AF9" s="59">
        <v>4703</v>
      </c>
    </row>
    <row r="10" spans="2:32" x14ac:dyDescent="0.2">
      <c r="B10" s="69" t="s">
        <v>17</v>
      </c>
      <c r="C10" s="59">
        <v>7107</v>
      </c>
      <c r="D10" s="59">
        <v>280</v>
      </c>
      <c r="E10" s="59">
        <v>7387</v>
      </c>
      <c r="F10" s="59">
        <v>7240</v>
      </c>
      <c r="G10" s="59">
        <v>113</v>
      </c>
      <c r="H10" s="59">
        <v>7353</v>
      </c>
      <c r="I10" s="59">
        <v>6830</v>
      </c>
      <c r="J10" s="59">
        <v>113</v>
      </c>
      <c r="K10" s="59">
        <v>6943</v>
      </c>
      <c r="L10" s="59">
        <v>6626</v>
      </c>
      <c r="M10" s="59">
        <v>152</v>
      </c>
      <c r="N10" s="59">
        <v>6778</v>
      </c>
      <c r="O10" s="59">
        <v>6715</v>
      </c>
      <c r="P10" s="59">
        <v>105</v>
      </c>
      <c r="Q10" s="59">
        <v>6820</v>
      </c>
      <c r="R10" s="59">
        <v>6694</v>
      </c>
      <c r="S10" s="59">
        <v>134</v>
      </c>
      <c r="T10" s="59">
        <v>6828</v>
      </c>
      <c r="U10" s="59">
        <v>6673</v>
      </c>
      <c r="V10" s="59">
        <v>157</v>
      </c>
      <c r="W10" s="59">
        <v>6830</v>
      </c>
      <c r="X10" s="59">
        <v>6581</v>
      </c>
      <c r="Y10" s="59">
        <v>161</v>
      </c>
      <c r="Z10" s="59">
        <v>6742</v>
      </c>
      <c r="AA10" s="59">
        <v>6273</v>
      </c>
      <c r="AB10" s="59">
        <v>152</v>
      </c>
      <c r="AC10" s="59">
        <v>6425</v>
      </c>
      <c r="AD10" s="59">
        <v>6077</v>
      </c>
      <c r="AE10" s="59">
        <v>137</v>
      </c>
      <c r="AF10" s="59">
        <v>6214</v>
      </c>
    </row>
    <row r="11" spans="2:32" x14ac:dyDescent="0.2">
      <c r="B11" s="69" t="s">
        <v>18</v>
      </c>
      <c r="C11" s="59">
        <v>8225</v>
      </c>
      <c r="D11" s="59">
        <v>417</v>
      </c>
      <c r="E11" s="59">
        <v>8642</v>
      </c>
      <c r="F11" s="59">
        <v>7999</v>
      </c>
      <c r="G11" s="59">
        <v>263</v>
      </c>
      <c r="H11" s="59">
        <v>8262</v>
      </c>
      <c r="I11" s="59">
        <v>7292</v>
      </c>
      <c r="J11" s="59">
        <v>170</v>
      </c>
      <c r="K11" s="59">
        <v>7462</v>
      </c>
      <c r="L11" s="59">
        <v>6955</v>
      </c>
      <c r="M11" s="59">
        <v>143</v>
      </c>
      <c r="N11" s="59">
        <v>7098</v>
      </c>
      <c r="O11" s="59">
        <v>6726</v>
      </c>
      <c r="P11" s="59">
        <v>111</v>
      </c>
      <c r="Q11" s="59">
        <v>6837</v>
      </c>
      <c r="R11" s="59">
        <v>6422</v>
      </c>
      <c r="S11" s="59">
        <v>128</v>
      </c>
      <c r="T11" s="59">
        <v>6550</v>
      </c>
      <c r="U11" s="59">
        <v>6055</v>
      </c>
      <c r="V11" s="59">
        <v>126</v>
      </c>
      <c r="W11" s="59">
        <v>6181</v>
      </c>
      <c r="X11" s="59">
        <v>5492</v>
      </c>
      <c r="Y11" s="59">
        <v>83</v>
      </c>
      <c r="Z11" s="59">
        <v>5575</v>
      </c>
      <c r="AA11" s="59">
        <v>4738</v>
      </c>
      <c r="AB11" s="59">
        <v>96</v>
      </c>
      <c r="AC11" s="59">
        <v>4834</v>
      </c>
      <c r="AD11" s="59">
        <v>4473</v>
      </c>
      <c r="AE11" s="59">
        <v>173</v>
      </c>
      <c r="AF11" s="59">
        <v>4646</v>
      </c>
    </row>
    <row r="12" spans="2:32" x14ac:dyDescent="0.2">
      <c r="B12" s="69" t="s">
        <v>19</v>
      </c>
      <c r="C12" s="59">
        <v>14755</v>
      </c>
      <c r="D12" s="59">
        <v>371</v>
      </c>
      <c r="E12" s="59">
        <v>15126</v>
      </c>
      <c r="F12" s="59">
        <v>14880</v>
      </c>
      <c r="G12" s="59">
        <v>252</v>
      </c>
      <c r="H12" s="59">
        <v>15132</v>
      </c>
      <c r="I12" s="59">
        <v>15246</v>
      </c>
      <c r="J12" s="59">
        <v>350</v>
      </c>
      <c r="K12" s="59">
        <v>15596</v>
      </c>
      <c r="L12" s="59">
        <v>14539</v>
      </c>
      <c r="M12" s="59">
        <v>386</v>
      </c>
      <c r="N12" s="59">
        <v>14925</v>
      </c>
      <c r="O12" s="59">
        <v>14192</v>
      </c>
      <c r="P12" s="59">
        <v>379</v>
      </c>
      <c r="Q12" s="59">
        <v>14571</v>
      </c>
      <c r="R12" s="59">
        <v>13691</v>
      </c>
      <c r="S12" s="59">
        <v>344</v>
      </c>
      <c r="T12" s="59">
        <v>14035</v>
      </c>
      <c r="U12" s="59">
        <v>12800</v>
      </c>
      <c r="V12" s="59">
        <v>314</v>
      </c>
      <c r="W12" s="59">
        <v>13114</v>
      </c>
      <c r="X12" s="59">
        <v>12173</v>
      </c>
      <c r="Y12" s="59">
        <v>389</v>
      </c>
      <c r="Z12" s="59">
        <v>12562</v>
      </c>
      <c r="AA12" s="59">
        <v>11240</v>
      </c>
      <c r="AB12" s="59">
        <v>341</v>
      </c>
      <c r="AC12" s="59">
        <v>11581</v>
      </c>
      <c r="AD12" s="59">
        <v>10348</v>
      </c>
      <c r="AE12" s="59">
        <v>288</v>
      </c>
      <c r="AF12" s="59">
        <v>10636</v>
      </c>
    </row>
    <row r="13" spans="2:32" x14ac:dyDescent="0.2">
      <c r="B13" s="69" t="s">
        <v>20</v>
      </c>
      <c r="C13" s="59">
        <v>10107</v>
      </c>
      <c r="D13" s="59">
        <v>600</v>
      </c>
      <c r="E13" s="59">
        <v>10707</v>
      </c>
      <c r="F13" s="59">
        <v>9875</v>
      </c>
      <c r="G13" s="59">
        <v>408</v>
      </c>
      <c r="H13" s="59">
        <v>10283</v>
      </c>
      <c r="I13" s="59">
        <v>9543</v>
      </c>
      <c r="J13" s="59">
        <v>261</v>
      </c>
      <c r="K13" s="59">
        <v>9804</v>
      </c>
      <c r="L13" s="59">
        <v>9187</v>
      </c>
      <c r="M13" s="59">
        <v>326</v>
      </c>
      <c r="N13" s="59">
        <v>9513</v>
      </c>
      <c r="O13" s="59">
        <v>9124</v>
      </c>
      <c r="P13" s="59">
        <v>94</v>
      </c>
      <c r="Q13" s="59">
        <v>9218</v>
      </c>
      <c r="R13" s="59">
        <v>8919</v>
      </c>
      <c r="S13" s="59">
        <v>81</v>
      </c>
      <c r="T13" s="59">
        <v>9000</v>
      </c>
      <c r="U13" s="59">
        <v>8428</v>
      </c>
      <c r="V13" s="59">
        <v>85</v>
      </c>
      <c r="W13" s="59">
        <v>8513</v>
      </c>
      <c r="X13" s="59">
        <v>8223</v>
      </c>
      <c r="Y13" s="59">
        <v>106</v>
      </c>
      <c r="Z13" s="59">
        <v>8329</v>
      </c>
      <c r="AA13" s="59">
        <v>8202</v>
      </c>
      <c r="AB13" s="59">
        <v>107</v>
      </c>
      <c r="AC13" s="59">
        <v>8309</v>
      </c>
      <c r="AD13" s="59">
        <v>7813</v>
      </c>
      <c r="AE13" s="59">
        <v>386</v>
      </c>
      <c r="AF13" s="59">
        <v>8199</v>
      </c>
    </row>
    <row r="14" spans="2:32" x14ac:dyDescent="0.2">
      <c r="B14" s="69" t="s">
        <v>21</v>
      </c>
      <c r="C14" s="59">
        <v>5279</v>
      </c>
      <c r="D14" s="59">
        <v>172</v>
      </c>
      <c r="E14" s="59">
        <v>5451</v>
      </c>
      <c r="F14" s="59">
        <v>5235</v>
      </c>
      <c r="G14" s="59">
        <v>131</v>
      </c>
      <c r="H14" s="59">
        <v>5366</v>
      </c>
      <c r="I14" s="59">
        <v>5212</v>
      </c>
      <c r="J14" s="59">
        <v>116</v>
      </c>
      <c r="K14" s="59">
        <v>5328</v>
      </c>
      <c r="L14" s="59">
        <v>5180</v>
      </c>
      <c r="M14" s="59">
        <v>80</v>
      </c>
      <c r="N14" s="59">
        <v>5260</v>
      </c>
      <c r="O14" s="59">
        <v>4840</v>
      </c>
      <c r="P14" s="59">
        <v>77</v>
      </c>
      <c r="Q14" s="59">
        <v>4917</v>
      </c>
      <c r="R14" s="59">
        <v>4536</v>
      </c>
      <c r="S14" s="59">
        <v>71</v>
      </c>
      <c r="T14" s="59">
        <v>4607</v>
      </c>
      <c r="U14" s="59">
        <v>4152</v>
      </c>
      <c r="V14" s="59">
        <v>68</v>
      </c>
      <c r="W14" s="59">
        <v>4220</v>
      </c>
      <c r="X14" s="59">
        <v>3771</v>
      </c>
      <c r="Y14" s="59">
        <v>56</v>
      </c>
      <c r="Z14" s="59">
        <v>3827</v>
      </c>
      <c r="AA14" s="59">
        <v>3376</v>
      </c>
      <c r="AB14" s="59">
        <v>49</v>
      </c>
      <c r="AC14" s="59">
        <v>3425</v>
      </c>
      <c r="AD14" s="59">
        <v>3087</v>
      </c>
      <c r="AE14" s="59">
        <v>75</v>
      </c>
      <c r="AF14" s="59">
        <v>3162</v>
      </c>
    </row>
    <row r="15" spans="2:32" x14ac:dyDescent="0.2">
      <c r="B15" s="69" t="s">
        <v>22</v>
      </c>
      <c r="C15" s="59">
        <v>3319</v>
      </c>
      <c r="D15" s="59">
        <v>92</v>
      </c>
      <c r="E15" s="59">
        <v>3411</v>
      </c>
      <c r="F15" s="59">
        <v>3192</v>
      </c>
      <c r="G15" s="59">
        <v>83</v>
      </c>
      <c r="H15" s="59">
        <v>3275</v>
      </c>
      <c r="I15" s="59">
        <v>3036</v>
      </c>
      <c r="J15" s="59">
        <v>95</v>
      </c>
      <c r="K15" s="59">
        <v>3131</v>
      </c>
      <c r="L15" s="59">
        <v>2878</v>
      </c>
      <c r="M15" s="59">
        <v>92</v>
      </c>
      <c r="N15" s="59">
        <v>2970</v>
      </c>
      <c r="O15" s="59">
        <v>2676</v>
      </c>
      <c r="P15" s="59">
        <v>76</v>
      </c>
      <c r="Q15" s="59">
        <v>2752</v>
      </c>
      <c r="R15" s="59">
        <v>2312</v>
      </c>
      <c r="S15" s="59">
        <v>77</v>
      </c>
      <c r="T15" s="59">
        <v>2389</v>
      </c>
      <c r="U15" s="59">
        <v>2133</v>
      </c>
      <c r="V15" s="59">
        <v>74</v>
      </c>
      <c r="W15" s="59">
        <v>2207</v>
      </c>
      <c r="X15" s="59">
        <v>1830</v>
      </c>
      <c r="Y15" s="59">
        <v>92</v>
      </c>
      <c r="Z15" s="59">
        <v>1922</v>
      </c>
      <c r="AA15" s="59">
        <v>1590</v>
      </c>
      <c r="AB15" s="59">
        <v>60</v>
      </c>
      <c r="AC15" s="59">
        <v>1650</v>
      </c>
      <c r="AD15" s="59">
        <v>1608</v>
      </c>
      <c r="AE15" s="59">
        <v>75</v>
      </c>
      <c r="AF15" s="59">
        <v>1683</v>
      </c>
    </row>
    <row r="16" spans="2:32" x14ac:dyDescent="0.2">
      <c r="B16" s="69" t="s">
        <v>23</v>
      </c>
      <c r="C16" s="59">
        <v>8179</v>
      </c>
      <c r="D16" s="59">
        <v>550</v>
      </c>
      <c r="E16" s="59">
        <v>8729</v>
      </c>
      <c r="F16" s="59">
        <v>8267</v>
      </c>
      <c r="G16" s="59">
        <v>458</v>
      </c>
      <c r="H16" s="59">
        <v>8725</v>
      </c>
      <c r="I16" s="59">
        <v>8041</v>
      </c>
      <c r="J16" s="59">
        <v>327</v>
      </c>
      <c r="K16" s="59">
        <v>8368</v>
      </c>
      <c r="L16" s="59">
        <v>8038</v>
      </c>
      <c r="M16" s="59">
        <v>241</v>
      </c>
      <c r="N16" s="59">
        <v>8279</v>
      </c>
      <c r="O16" s="59">
        <v>7768</v>
      </c>
      <c r="P16" s="59">
        <v>279</v>
      </c>
      <c r="Q16" s="59">
        <v>8047</v>
      </c>
      <c r="R16" s="59">
        <v>7705</v>
      </c>
      <c r="S16" s="59">
        <v>283</v>
      </c>
      <c r="T16" s="59">
        <v>7988</v>
      </c>
      <c r="U16" s="59">
        <v>7625</v>
      </c>
      <c r="V16" s="59">
        <v>302</v>
      </c>
      <c r="W16" s="59">
        <v>7927</v>
      </c>
      <c r="X16" s="59">
        <v>7418</v>
      </c>
      <c r="Y16" s="59">
        <v>330</v>
      </c>
      <c r="Z16" s="59">
        <v>7748</v>
      </c>
      <c r="AA16" s="59">
        <v>7446</v>
      </c>
      <c r="AB16" s="59">
        <v>335</v>
      </c>
      <c r="AC16" s="59">
        <v>7781</v>
      </c>
      <c r="AD16" s="59">
        <v>7476</v>
      </c>
      <c r="AE16" s="59">
        <v>341</v>
      </c>
      <c r="AF16" s="59">
        <v>7817</v>
      </c>
    </row>
    <row r="17" spans="2:32" x14ac:dyDescent="0.2">
      <c r="B17" s="69" t="s">
        <v>24</v>
      </c>
      <c r="C17" s="59">
        <v>8058</v>
      </c>
      <c r="D17" s="59">
        <v>268</v>
      </c>
      <c r="E17" s="59">
        <v>8326</v>
      </c>
      <c r="F17" s="59">
        <v>7983</v>
      </c>
      <c r="G17" s="59">
        <v>200</v>
      </c>
      <c r="H17" s="59">
        <v>8183</v>
      </c>
      <c r="I17" s="59">
        <v>7525</v>
      </c>
      <c r="J17" s="59">
        <v>199</v>
      </c>
      <c r="K17" s="59">
        <v>7724</v>
      </c>
      <c r="L17" s="59">
        <v>7371</v>
      </c>
      <c r="M17" s="59">
        <v>177</v>
      </c>
      <c r="N17" s="59">
        <v>7548</v>
      </c>
      <c r="O17" s="59">
        <v>7121</v>
      </c>
      <c r="P17" s="59">
        <v>234</v>
      </c>
      <c r="Q17" s="59">
        <v>7355</v>
      </c>
      <c r="R17" s="59">
        <v>6901</v>
      </c>
      <c r="S17" s="59">
        <v>157</v>
      </c>
      <c r="T17" s="59">
        <v>7058</v>
      </c>
      <c r="U17" s="59">
        <v>6803</v>
      </c>
      <c r="V17" s="59">
        <v>186</v>
      </c>
      <c r="W17" s="59">
        <v>6989</v>
      </c>
      <c r="X17" s="59">
        <v>6357</v>
      </c>
      <c r="Y17" s="59">
        <v>224</v>
      </c>
      <c r="Z17" s="59">
        <v>6581</v>
      </c>
      <c r="AA17" s="59">
        <v>6126</v>
      </c>
      <c r="AB17" s="59">
        <v>282</v>
      </c>
      <c r="AC17" s="59">
        <v>6408</v>
      </c>
      <c r="AD17" s="59">
        <v>5860</v>
      </c>
      <c r="AE17" s="59">
        <v>236</v>
      </c>
      <c r="AF17" s="59">
        <v>6096</v>
      </c>
    </row>
    <row r="18" spans="2:32" x14ac:dyDescent="0.2">
      <c r="B18" s="69" t="s">
        <v>25</v>
      </c>
      <c r="C18" s="59">
        <v>8814</v>
      </c>
      <c r="D18" s="59">
        <v>38</v>
      </c>
      <c r="E18" s="59">
        <v>8852</v>
      </c>
      <c r="F18" s="59">
        <v>8622</v>
      </c>
      <c r="G18" s="59">
        <v>90</v>
      </c>
      <c r="H18" s="59">
        <v>8712</v>
      </c>
      <c r="I18" s="59">
        <v>8379</v>
      </c>
      <c r="J18" s="59">
        <v>180</v>
      </c>
      <c r="K18" s="59">
        <v>8559</v>
      </c>
      <c r="L18" s="59">
        <v>8227</v>
      </c>
      <c r="M18" s="59">
        <v>120</v>
      </c>
      <c r="N18" s="59">
        <v>8347</v>
      </c>
      <c r="O18" s="59">
        <v>8353</v>
      </c>
      <c r="P18" s="59">
        <v>142</v>
      </c>
      <c r="Q18" s="59">
        <v>8495</v>
      </c>
      <c r="R18" s="59">
        <v>8423</v>
      </c>
      <c r="S18" s="59">
        <v>205</v>
      </c>
      <c r="T18" s="59">
        <v>8628</v>
      </c>
      <c r="U18" s="59">
        <v>8677</v>
      </c>
      <c r="V18" s="59">
        <v>204</v>
      </c>
      <c r="W18" s="59">
        <v>8881</v>
      </c>
      <c r="X18" s="59">
        <v>8734</v>
      </c>
      <c r="Y18" s="59">
        <v>161</v>
      </c>
      <c r="Z18" s="59">
        <v>8895</v>
      </c>
      <c r="AA18" s="59">
        <v>8633</v>
      </c>
      <c r="AB18" s="59">
        <v>191</v>
      </c>
      <c r="AC18" s="59">
        <v>8824</v>
      </c>
      <c r="AD18" s="59">
        <v>8622</v>
      </c>
      <c r="AE18" s="59">
        <v>184</v>
      </c>
      <c r="AF18" s="59">
        <v>8806</v>
      </c>
    </row>
    <row r="19" spans="2:32" x14ac:dyDescent="0.2">
      <c r="B19" s="71" t="s">
        <v>26</v>
      </c>
      <c r="C19" s="62">
        <v>13642</v>
      </c>
      <c r="D19" s="62">
        <v>848</v>
      </c>
      <c r="E19" s="62">
        <v>14490</v>
      </c>
      <c r="F19" s="62">
        <v>14337</v>
      </c>
      <c r="G19" s="62">
        <v>763</v>
      </c>
      <c r="H19" s="62">
        <v>15100</v>
      </c>
      <c r="I19" s="62">
        <v>14814</v>
      </c>
      <c r="J19" s="62">
        <v>597</v>
      </c>
      <c r="K19" s="62">
        <v>15411</v>
      </c>
      <c r="L19" s="62">
        <v>15281</v>
      </c>
      <c r="M19" s="62">
        <v>564</v>
      </c>
      <c r="N19" s="62">
        <v>15845</v>
      </c>
      <c r="O19" s="62">
        <v>15542</v>
      </c>
      <c r="P19" s="62">
        <v>544</v>
      </c>
      <c r="Q19" s="62">
        <v>16086</v>
      </c>
      <c r="R19" s="62">
        <v>16105</v>
      </c>
      <c r="S19" s="62">
        <v>501</v>
      </c>
      <c r="T19" s="62">
        <v>16606</v>
      </c>
      <c r="U19" s="62">
        <v>16509</v>
      </c>
      <c r="V19" s="62">
        <v>497</v>
      </c>
      <c r="W19" s="62">
        <v>17006</v>
      </c>
      <c r="X19" s="62">
        <v>16879</v>
      </c>
      <c r="Y19" s="62">
        <v>457</v>
      </c>
      <c r="Z19" s="62">
        <v>17336</v>
      </c>
      <c r="AA19" s="62">
        <v>17055</v>
      </c>
      <c r="AB19" s="62">
        <v>497</v>
      </c>
      <c r="AC19" s="62">
        <v>17552</v>
      </c>
      <c r="AD19" s="62">
        <v>17225</v>
      </c>
      <c r="AE19" s="62">
        <v>466</v>
      </c>
      <c r="AF19" s="62">
        <v>17691</v>
      </c>
    </row>
    <row r="20" spans="2:32" x14ac:dyDescent="0.2">
      <c r="B20" s="20" t="s">
        <v>27</v>
      </c>
      <c r="C20" s="21">
        <f>SUBTOTAL(109,'Degree-NonDegree Enrollment'!$C$6:$C$19)</f>
        <v>114969</v>
      </c>
      <c r="D20" s="21">
        <f>SUBTOTAL(109,'Degree-NonDegree Enrollment'!$D$6:$D$19)</f>
        <v>4544</v>
      </c>
      <c r="E20" s="21">
        <f>SUBTOTAL(109,'Degree-NonDegree Enrollment'!$E$6:$E$19)</f>
        <v>119513</v>
      </c>
      <c r="F20" s="21">
        <f>SUBTOTAL(109,'Degree-NonDegree Enrollment'!$F$6:$F$19)</f>
        <v>114925</v>
      </c>
      <c r="G20" s="21">
        <f>SUBTOTAL(109,'Degree-NonDegree Enrollment'!$G$6:$G$19)</f>
        <v>3299</v>
      </c>
      <c r="H20" s="21">
        <f>SUBTOTAL(109,'Degree-NonDegree Enrollment'!$H$6:$H$19)</f>
        <v>118224</v>
      </c>
      <c r="I20" s="21">
        <f>SUBTOTAL(109,'Degree-NonDegree Enrollment'!$I$6:$I$19)</f>
        <v>111842</v>
      </c>
      <c r="J20" s="21">
        <f>SUBTOTAL(109,'Degree-NonDegree Enrollment'!$J$6:$J$19)</f>
        <v>2846</v>
      </c>
      <c r="K20" s="21">
        <f>SUBTOTAL(109,'Degree-NonDegree Enrollment'!$K$6:$K$19)</f>
        <v>114688</v>
      </c>
      <c r="L20" s="21">
        <f>SUBTOTAL(109,'Degree-NonDegree Enrollment'!$L$6:$L$19)</f>
        <v>109505</v>
      </c>
      <c r="M20" s="21">
        <f>SUBTOTAL(109,'Degree-NonDegree Enrollment'!$M$6:$M$19)</f>
        <v>2720</v>
      </c>
      <c r="N20" s="21">
        <f>SUBTOTAL(109,'Degree-NonDegree Enrollment'!$N$6:$N$19)</f>
        <v>112225</v>
      </c>
      <c r="O20" s="21">
        <f>SUBTOTAL(109,'Degree-NonDegree Enrollment'!$O$6:$O$19)</f>
        <v>107173</v>
      </c>
      <c r="P20" s="21">
        <f>SUBTOTAL(109,'Degree-NonDegree Enrollment'!$P$6:$P$19)</f>
        <v>2635</v>
      </c>
      <c r="Q20" s="21">
        <f>SUBTOTAL(109,'Degree-NonDegree Enrollment'!$Q$6:$Q$19)</f>
        <v>109808</v>
      </c>
      <c r="R20" s="21">
        <f>SUBTOTAL(109,'Degree-NonDegree Enrollment'!$R$6:$R$19)</f>
        <v>104829</v>
      </c>
      <c r="S20" s="21">
        <f>SUBTOTAL(109,'Degree-NonDegree Enrollment'!$S$6:$S$19)</f>
        <v>2570</v>
      </c>
      <c r="T20" s="21">
        <f>SUBTOTAL(109,'Degree-NonDegree Enrollment'!$T$6:$T$19)</f>
        <v>107399</v>
      </c>
      <c r="U20" s="21">
        <f>SUBTOTAL(109,'Degree-NonDegree Enrollment'!$U$6:$U$19)</f>
        <v>102503</v>
      </c>
      <c r="V20" s="21">
        <f>SUBTOTAL(109,'Degree-NonDegree Enrollment'!$V$6:$V$19)</f>
        <v>2546</v>
      </c>
      <c r="W20" s="21">
        <f>SUBTOTAL(109,'Degree-NonDegree Enrollment'!$W$6:$W$19)</f>
        <v>105049</v>
      </c>
      <c r="X20" s="21">
        <f>SUBTOTAL(109,'Degree-NonDegree Enrollment'!$X$6:$X$19)</f>
        <v>99910</v>
      </c>
      <c r="Y20" s="21">
        <f>SUBTOTAL(109,'Degree-NonDegree Enrollment'!$Y$6:$Y$19)</f>
        <v>2662</v>
      </c>
      <c r="Z20" s="21">
        <f>SUBTOTAL(109,'Degree-NonDegree Enrollment'!$Z$6:$Z$19)</f>
        <v>102572</v>
      </c>
      <c r="AA20" s="21">
        <f>SUBTOTAL(109,'Degree-NonDegree Enrollment'!$AA$6:$AA$19)</f>
        <v>95673</v>
      </c>
      <c r="AB20" s="21">
        <f>SUBTOTAL(109,'Degree-NonDegree Enrollment'!$AB$6:$AB$19)</f>
        <v>2690</v>
      </c>
      <c r="AC20" s="21">
        <f>SUBTOTAL(109,'Degree-NonDegree Enrollment'!$AC$6:$AC$19)</f>
        <v>98363</v>
      </c>
      <c r="AD20" s="21">
        <f>SUBTOTAL(109,'Degree-NonDegree Enrollment'!$AD$6:$AD$19)</f>
        <v>92795</v>
      </c>
      <c r="AE20" s="21">
        <f>SUBTOTAL(109,'Degree-NonDegree Enrollment'!$AE$6:$AE$19)</f>
        <v>3007</v>
      </c>
      <c r="AF20" s="21">
        <f>SUBTOTAL(109,'Degree-NonDegree Enrollment'!$AF$6:$AF$19)</f>
        <v>95802</v>
      </c>
    </row>
    <row r="23" spans="2:32" ht="15" x14ac:dyDescent="0.2">
      <c r="B23" s="131" t="s">
        <v>150</v>
      </c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</row>
    <row r="24" spans="2:32" x14ac:dyDescent="0.2">
      <c r="B24" s="134" t="s">
        <v>1</v>
      </c>
      <c r="C24" s="133" t="str">
        <f>CONCATENATE(IF(RIGHT(Parameters!B1,1) = "1","Fall ", "Spring "),IF(RIGHT(Parameters!B1,1) = "1",LEFT(Parameters!B1,4) -9, LEFT(Parameters!B1,4) - 8))</f>
        <v>Fall 2010</v>
      </c>
      <c r="D24" s="133"/>
      <c r="E24" s="133"/>
      <c r="F24" s="133" t="str">
        <f>CONCATENATE(IF(RIGHT(Parameters!B1,1) = "1","Fall ", "Spring "),IF(RIGHT(Parameters!B1,1) = "1",LEFT(Parameters!B1,4) -8, LEFT(Parameters!B1,4) - 7))</f>
        <v>Fall 2011</v>
      </c>
      <c r="G24" s="133"/>
      <c r="H24" s="133"/>
      <c r="I24" s="133" t="str">
        <f>CONCATENATE(IF(RIGHT(Parameters!B1,1) = "1","Fall ", "Spring "),IF(RIGHT(Parameters!B1,1) = "1",LEFT(Parameters!B1,4) -7, LEFT(Parameters!B1,4) - 6))</f>
        <v>Fall 2012</v>
      </c>
      <c r="J24" s="133"/>
      <c r="K24" s="133"/>
      <c r="L24" s="133" t="str">
        <f>CONCATENATE(IF(RIGHT(Parameters!B1,1) = "1","Fall ", "Spring "),IF(RIGHT(Parameters!B1,1) = "1",LEFT(Parameters!B1,4) -6, LEFT(Parameters!B1,4) - 5))</f>
        <v>Fall 2013</v>
      </c>
      <c r="M24" s="133"/>
      <c r="N24" s="133"/>
      <c r="O24" s="133" t="str">
        <f>CONCATENATE(IF(RIGHT(Parameters!B1,1) = "1","Fall ", "Spring "),IF(RIGHT(Parameters!B1,1) = "1",LEFT(Parameters!B1,4) -5, LEFT(Parameters!B1,4) - 4))</f>
        <v>Fall 2014</v>
      </c>
      <c r="P24" s="133"/>
      <c r="Q24" s="133"/>
      <c r="R24" s="133" t="str">
        <f>CONCATENATE(IF(RIGHT(Parameters!B1,1) = "1","Fall ", "Spring "),IF(RIGHT(Parameters!B1,1) = "1",LEFT(Parameters!B1,4) -4, LEFT(Parameters!B1,4) - 3))</f>
        <v>Fall 2015</v>
      </c>
      <c r="S24" s="133"/>
      <c r="T24" s="133"/>
      <c r="U24" s="133" t="str">
        <f>CONCATENATE(IF(RIGHT(Parameters!B1,1) = "1","Fall ", "Spring "),IF(RIGHT(Parameters!B1,1) = "1",LEFT(Parameters!B1,4) -3, LEFT(Parameters!B1,4) -2 ))</f>
        <v>Fall 2016</v>
      </c>
      <c r="V24" s="133"/>
      <c r="W24" s="133"/>
      <c r="X24" s="133" t="str">
        <f>CONCATENATE(IF(RIGHT(Parameters!B1,1) = "1","Fall ", "Spring "),IF(RIGHT(Parameters!B1,1) = "1",LEFT(Parameters!B1,4) -2, LEFT(Parameters!B1,4) -1 ))</f>
        <v>Fall 2017</v>
      </c>
      <c r="Y24" s="133"/>
      <c r="Z24" s="133"/>
      <c r="AA24" s="133" t="str">
        <f>CONCATENATE(IF(RIGHT(Parameters!B1,1) = "1","Fall ", "Spring "),IF(RIGHT(Parameters!B1,1) = "1",LEFT(Parameters!B1,4) -1, LEFT(Parameters!B1,4)  ))</f>
        <v>Fall 2018</v>
      </c>
      <c r="AB24" s="133"/>
      <c r="AC24" s="133"/>
      <c r="AD24" s="133" t="str">
        <f>CONCATENATE(IF(RIGHT(Parameters!B1,1) = "1","Fall ", "Spring "),IF(RIGHT(Parameters!B1,1) = "1",LEFT(Parameters!B1,4), LEFT(Parameters!B1,4) + 1))</f>
        <v>Fall 2019</v>
      </c>
      <c r="AE24" s="133"/>
      <c r="AF24" s="133"/>
    </row>
    <row r="25" spans="2:32" ht="28.5" x14ac:dyDescent="0.2">
      <c r="B25" s="135"/>
      <c r="C25" s="54" t="s">
        <v>137</v>
      </c>
      <c r="D25" s="54" t="s">
        <v>138</v>
      </c>
      <c r="E25" s="54" t="s">
        <v>35</v>
      </c>
      <c r="F25" s="54" t="s">
        <v>137</v>
      </c>
      <c r="G25" s="54" t="s">
        <v>138</v>
      </c>
      <c r="H25" s="54" t="s">
        <v>35</v>
      </c>
      <c r="I25" s="54" t="s">
        <v>137</v>
      </c>
      <c r="J25" s="54" t="s">
        <v>138</v>
      </c>
      <c r="K25" s="54" t="s">
        <v>35</v>
      </c>
      <c r="L25" s="54" t="s">
        <v>137</v>
      </c>
      <c r="M25" s="54" t="s">
        <v>138</v>
      </c>
      <c r="N25" s="54" t="s">
        <v>35</v>
      </c>
      <c r="O25" s="54" t="s">
        <v>137</v>
      </c>
      <c r="P25" s="54" t="s">
        <v>138</v>
      </c>
      <c r="Q25" s="54" t="s">
        <v>35</v>
      </c>
      <c r="R25" s="54" t="s">
        <v>137</v>
      </c>
      <c r="S25" s="54" t="s">
        <v>138</v>
      </c>
      <c r="T25" s="54" t="s">
        <v>35</v>
      </c>
      <c r="U25" s="54" t="s">
        <v>137</v>
      </c>
      <c r="V25" s="54" t="s">
        <v>138</v>
      </c>
      <c r="W25" s="54" t="s">
        <v>35</v>
      </c>
      <c r="X25" s="54" t="s">
        <v>137</v>
      </c>
      <c r="Y25" s="54" t="s">
        <v>138</v>
      </c>
      <c r="Z25" s="54" t="s">
        <v>35</v>
      </c>
      <c r="AA25" s="54" t="s">
        <v>137</v>
      </c>
      <c r="AB25" s="54" t="s">
        <v>138</v>
      </c>
      <c r="AC25" s="54" t="s">
        <v>35</v>
      </c>
      <c r="AD25" s="54" t="s">
        <v>137</v>
      </c>
      <c r="AE25" s="54" t="s">
        <v>138</v>
      </c>
      <c r="AF25" s="54" t="s">
        <v>35</v>
      </c>
    </row>
    <row r="26" spans="2:32" ht="17.25" hidden="1" customHeight="1" thickBot="1" x14ac:dyDescent="0.25">
      <c r="B26" s="26" t="s">
        <v>2</v>
      </c>
      <c r="C26" s="26" t="s">
        <v>139</v>
      </c>
      <c r="D26" s="26" t="s">
        <v>84</v>
      </c>
      <c r="E26" s="26" t="s">
        <v>86</v>
      </c>
      <c r="F26" s="26" t="s">
        <v>140</v>
      </c>
      <c r="G26" s="26" t="s">
        <v>87</v>
      </c>
      <c r="H26" s="26" t="s">
        <v>89</v>
      </c>
      <c r="I26" s="26" t="s">
        <v>141</v>
      </c>
      <c r="J26" s="26" t="s">
        <v>90</v>
      </c>
      <c r="K26" s="26" t="s">
        <v>92</v>
      </c>
      <c r="L26" s="26" t="s">
        <v>142</v>
      </c>
      <c r="M26" s="26" t="s">
        <v>93</v>
      </c>
      <c r="N26" s="26" t="s">
        <v>95</v>
      </c>
      <c r="O26" s="26" t="s">
        <v>143</v>
      </c>
      <c r="P26" s="26" t="s">
        <v>96</v>
      </c>
      <c r="Q26" s="26" t="s">
        <v>98</v>
      </c>
      <c r="R26" s="26" t="s">
        <v>144</v>
      </c>
      <c r="S26" s="26" t="s">
        <v>99</v>
      </c>
      <c r="T26" s="26" t="s">
        <v>101</v>
      </c>
      <c r="U26" s="26" t="s">
        <v>145</v>
      </c>
      <c r="V26" s="26" t="s">
        <v>102</v>
      </c>
      <c r="W26" s="26" t="s">
        <v>104</v>
      </c>
      <c r="X26" s="26" t="s">
        <v>146</v>
      </c>
      <c r="Y26" s="26" t="s">
        <v>105</v>
      </c>
      <c r="Z26" s="26" t="s">
        <v>147</v>
      </c>
      <c r="AA26" s="26" t="s">
        <v>148</v>
      </c>
      <c r="AB26" s="26" t="s">
        <v>108</v>
      </c>
      <c r="AC26" s="26" t="s">
        <v>110</v>
      </c>
      <c r="AD26" s="26" t="s">
        <v>149</v>
      </c>
      <c r="AE26" s="26" t="s">
        <v>111</v>
      </c>
      <c r="AF26" s="26" t="s">
        <v>113</v>
      </c>
    </row>
    <row r="27" spans="2:32" x14ac:dyDescent="0.2">
      <c r="B27" s="67" t="s">
        <v>13</v>
      </c>
      <c r="C27" s="57">
        <v>8877</v>
      </c>
      <c r="D27" s="57">
        <v>259</v>
      </c>
      <c r="E27" s="57">
        <v>9136</v>
      </c>
      <c r="F27" s="57">
        <v>9065</v>
      </c>
      <c r="G27" s="57">
        <v>191</v>
      </c>
      <c r="H27" s="57">
        <v>9256</v>
      </c>
      <c r="I27" s="57">
        <v>9044</v>
      </c>
      <c r="J27" s="57">
        <v>159</v>
      </c>
      <c r="K27" s="57">
        <v>9203</v>
      </c>
      <c r="L27" s="57">
        <v>9245</v>
      </c>
      <c r="M27" s="57">
        <v>171</v>
      </c>
      <c r="N27" s="57">
        <v>9416</v>
      </c>
      <c r="O27" s="57">
        <v>9109</v>
      </c>
      <c r="P27" s="57">
        <v>210</v>
      </c>
      <c r="Q27" s="57">
        <v>9319</v>
      </c>
      <c r="R27" s="57">
        <v>8931</v>
      </c>
      <c r="S27" s="57">
        <v>227</v>
      </c>
      <c r="T27" s="57">
        <v>9158</v>
      </c>
      <c r="U27" s="57">
        <v>8734</v>
      </c>
      <c r="V27" s="57">
        <v>261</v>
      </c>
      <c r="W27" s="57">
        <v>8995</v>
      </c>
      <c r="X27" s="57">
        <v>8303</v>
      </c>
      <c r="Y27" s="57">
        <v>303</v>
      </c>
      <c r="Z27" s="57">
        <v>8606</v>
      </c>
      <c r="AA27" s="57">
        <v>7935</v>
      </c>
      <c r="AB27" s="57">
        <v>318</v>
      </c>
      <c r="AC27" s="57">
        <v>8253</v>
      </c>
      <c r="AD27" s="57">
        <v>7667</v>
      </c>
      <c r="AE27" s="57">
        <v>325</v>
      </c>
      <c r="AF27" s="57">
        <v>7992</v>
      </c>
    </row>
    <row r="28" spans="2:32" x14ac:dyDescent="0.2">
      <c r="B28" s="69" t="s">
        <v>14</v>
      </c>
      <c r="C28" s="59">
        <v>7370</v>
      </c>
      <c r="D28" s="59">
        <v>49</v>
      </c>
      <c r="E28" s="59">
        <v>7419</v>
      </c>
      <c r="F28" s="59">
        <v>7370</v>
      </c>
      <c r="G28" s="59">
        <v>47</v>
      </c>
      <c r="H28" s="59">
        <v>7417</v>
      </c>
      <c r="I28" s="59">
        <v>6646</v>
      </c>
      <c r="J28" s="59">
        <v>35</v>
      </c>
      <c r="K28" s="59">
        <v>6681</v>
      </c>
      <c r="L28" s="59">
        <v>6396</v>
      </c>
      <c r="M28" s="59">
        <v>54</v>
      </c>
      <c r="N28" s="59">
        <v>6450</v>
      </c>
      <c r="O28" s="59">
        <v>6031</v>
      </c>
      <c r="P28" s="59">
        <v>45</v>
      </c>
      <c r="Q28" s="59">
        <v>6076</v>
      </c>
      <c r="R28" s="59">
        <v>5715</v>
      </c>
      <c r="S28" s="59">
        <v>70</v>
      </c>
      <c r="T28" s="59">
        <v>5785</v>
      </c>
      <c r="U28" s="59">
        <v>5426</v>
      </c>
      <c r="V28" s="59">
        <v>96</v>
      </c>
      <c r="W28" s="59">
        <v>5522</v>
      </c>
      <c r="X28" s="59">
        <v>5435</v>
      </c>
      <c r="Y28" s="59">
        <v>122</v>
      </c>
      <c r="Z28" s="59">
        <v>5557</v>
      </c>
      <c r="AA28" s="59">
        <v>5065</v>
      </c>
      <c r="AB28" s="59">
        <v>109</v>
      </c>
      <c r="AC28" s="59">
        <v>5174</v>
      </c>
      <c r="AD28" s="59">
        <v>4756</v>
      </c>
      <c r="AE28" s="59">
        <v>100</v>
      </c>
      <c r="AF28" s="59">
        <v>4856</v>
      </c>
    </row>
    <row r="29" spans="2:32" x14ac:dyDescent="0.2">
      <c r="B29" s="69" t="s">
        <v>15</v>
      </c>
      <c r="C29" s="59">
        <v>1443</v>
      </c>
      <c r="D29" s="59">
        <v>65</v>
      </c>
      <c r="E29" s="59">
        <v>1508</v>
      </c>
      <c r="F29" s="59">
        <v>1102</v>
      </c>
      <c r="G29" s="59">
        <v>39</v>
      </c>
      <c r="H29" s="59">
        <v>1141</v>
      </c>
      <c r="I29" s="59">
        <v>1210</v>
      </c>
      <c r="J29" s="59">
        <v>14</v>
      </c>
      <c r="K29" s="59">
        <v>1224</v>
      </c>
      <c r="L29" s="59">
        <v>1178</v>
      </c>
      <c r="M29" s="59">
        <v>1</v>
      </c>
      <c r="N29" s="59">
        <v>1179</v>
      </c>
      <c r="O29" s="59">
        <v>997</v>
      </c>
      <c r="P29" s="59">
        <v>0</v>
      </c>
      <c r="Q29" s="59">
        <v>997</v>
      </c>
      <c r="R29" s="59">
        <v>686</v>
      </c>
      <c r="S29" s="59">
        <v>0</v>
      </c>
      <c r="T29" s="59">
        <v>686</v>
      </c>
      <c r="U29" s="59">
        <v>708</v>
      </c>
      <c r="V29" s="59">
        <v>1</v>
      </c>
      <c r="W29" s="59">
        <v>709</v>
      </c>
      <c r="X29" s="59">
        <v>722</v>
      </c>
      <c r="Y29" s="59">
        <v>1</v>
      </c>
      <c r="Z29" s="59">
        <v>723</v>
      </c>
      <c r="AA29" s="59">
        <v>469</v>
      </c>
      <c r="AB29" s="59">
        <v>0</v>
      </c>
      <c r="AC29" s="59">
        <v>469</v>
      </c>
      <c r="AD29" s="59">
        <v>589</v>
      </c>
      <c r="AE29" s="59">
        <v>29</v>
      </c>
      <c r="AF29" s="59">
        <v>618</v>
      </c>
    </row>
    <row r="30" spans="2:32" x14ac:dyDescent="0.2">
      <c r="B30" s="69" t="s">
        <v>16</v>
      </c>
      <c r="C30" s="59">
        <v>5957</v>
      </c>
      <c r="D30" s="59">
        <v>268</v>
      </c>
      <c r="E30" s="59">
        <v>6225</v>
      </c>
      <c r="F30" s="59">
        <v>5715</v>
      </c>
      <c r="G30" s="59">
        <v>161</v>
      </c>
      <c r="H30" s="59">
        <v>5876</v>
      </c>
      <c r="I30" s="59">
        <v>5337</v>
      </c>
      <c r="J30" s="59">
        <v>181</v>
      </c>
      <c r="K30" s="59">
        <v>5518</v>
      </c>
      <c r="L30" s="59">
        <v>5046</v>
      </c>
      <c r="M30" s="59">
        <v>153</v>
      </c>
      <c r="N30" s="59">
        <v>5199</v>
      </c>
      <c r="O30" s="59">
        <v>4744</v>
      </c>
      <c r="P30" s="59">
        <v>162</v>
      </c>
      <c r="Q30" s="59">
        <v>4906</v>
      </c>
      <c r="R30" s="59">
        <v>4401</v>
      </c>
      <c r="S30" s="59">
        <v>154</v>
      </c>
      <c r="T30" s="59">
        <v>4555</v>
      </c>
      <c r="U30" s="59">
        <v>4252</v>
      </c>
      <c r="V30" s="59">
        <v>78</v>
      </c>
      <c r="W30" s="59">
        <v>4330</v>
      </c>
      <c r="X30" s="59">
        <v>4214</v>
      </c>
      <c r="Y30" s="59">
        <v>107</v>
      </c>
      <c r="Z30" s="59">
        <v>4321</v>
      </c>
      <c r="AA30" s="59">
        <v>3854</v>
      </c>
      <c r="AB30" s="59">
        <v>88</v>
      </c>
      <c r="AC30" s="59">
        <v>3942</v>
      </c>
      <c r="AD30" s="59">
        <v>3648</v>
      </c>
      <c r="AE30" s="59">
        <v>128</v>
      </c>
      <c r="AF30" s="59">
        <v>3776</v>
      </c>
    </row>
    <row r="31" spans="2:32" x14ac:dyDescent="0.2">
      <c r="B31" s="69" t="s">
        <v>17</v>
      </c>
      <c r="C31" s="59">
        <v>6274</v>
      </c>
      <c r="D31" s="59">
        <v>98</v>
      </c>
      <c r="E31" s="59">
        <v>6372</v>
      </c>
      <c r="F31" s="59">
        <v>6610</v>
      </c>
      <c r="G31" s="59">
        <v>46</v>
      </c>
      <c r="H31" s="59">
        <v>6656</v>
      </c>
      <c r="I31" s="59">
        <v>6289</v>
      </c>
      <c r="J31" s="59">
        <v>66</v>
      </c>
      <c r="K31" s="59">
        <v>6355</v>
      </c>
      <c r="L31" s="59">
        <v>6109</v>
      </c>
      <c r="M31" s="59">
        <v>77</v>
      </c>
      <c r="N31" s="59">
        <v>6186</v>
      </c>
      <c r="O31" s="59">
        <v>6126</v>
      </c>
      <c r="P31" s="59">
        <v>78</v>
      </c>
      <c r="Q31" s="59">
        <v>6204</v>
      </c>
      <c r="R31" s="59">
        <v>6105</v>
      </c>
      <c r="S31" s="59">
        <v>62</v>
      </c>
      <c r="T31" s="59">
        <v>6167</v>
      </c>
      <c r="U31" s="59">
        <v>6092</v>
      </c>
      <c r="V31" s="59">
        <v>67</v>
      </c>
      <c r="W31" s="59">
        <v>6159</v>
      </c>
      <c r="X31" s="59">
        <v>5978</v>
      </c>
      <c r="Y31" s="59">
        <v>73</v>
      </c>
      <c r="Z31" s="59">
        <v>6051</v>
      </c>
      <c r="AA31" s="59">
        <v>5612</v>
      </c>
      <c r="AB31" s="59">
        <v>101</v>
      </c>
      <c r="AC31" s="59">
        <v>5713</v>
      </c>
      <c r="AD31" s="59">
        <v>5338</v>
      </c>
      <c r="AE31" s="59">
        <v>79</v>
      </c>
      <c r="AF31" s="59">
        <v>5417</v>
      </c>
    </row>
    <row r="32" spans="2:32" x14ac:dyDescent="0.2">
      <c r="B32" s="69" t="s">
        <v>18</v>
      </c>
      <c r="C32" s="59">
        <v>6587</v>
      </c>
      <c r="D32" s="59">
        <v>110</v>
      </c>
      <c r="E32" s="59">
        <v>6697</v>
      </c>
      <c r="F32" s="59">
        <v>6553</v>
      </c>
      <c r="G32" s="59">
        <v>96</v>
      </c>
      <c r="H32" s="59">
        <v>6649</v>
      </c>
      <c r="I32" s="59">
        <v>5992</v>
      </c>
      <c r="J32" s="59">
        <v>98</v>
      </c>
      <c r="K32" s="59">
        <v>6090</v>
      </c>
      <c r="L32" s="59">
        <v>5756</v>
      </c>
      <c r="M32" s="59">
        <v>108</v>
      </c>
      <c r="N32" s="59">
        <v>5864</v>
      </c>
      <c r="O32" s="59">
        <v>5494</v>
      </c>
      <c r="P32" s="59">
        <v>101</v>
      </c>
      <c r="Q32" s="59">
        <v>5595</v>
      </c>
      <c r="R32" s="59">
        <v>5142</v>
      </c>
      <c r="S32" s="59">
        <v>105</v>
      </c>
      <c r="T32" s="59">
        <v>5247</v>
      </c>
      <c r="U32" s="59">
        <v>4746</v>
      </c>
      <c r="V32" s="59">
        <v>94</v>
      </c>
      <c r="W32" s="59">
        <v>4840</v>
      </c>
      <c r="X32" s="59">
        <v>4230</v>
      </c>
      <c r="Y32" s="59">
        <v>61</v>
      </c>
      <c r="Z32" s="59">
        <v>4291</v>
      </c>
      <c r="AA32" s="59">
        <v>3498</v>
      </c>
      <c r="AB32" s="59">
        <v>74</v>
      </c>
      <c r="AC32" s="59">
        <v>3572</v>
      </c>
      <c r="AD32" s="59">
        <v>3244</v>
      </c>
      <c r="AE32" s="59">
        <v>155</v>
      </c>
      <c r="AF32" s="59">
        <v>3399</v>
      </c>
    </row>
    <row r="33" spans="2:32" x14ac:dyDescent="0.2">
      <c r="B33" s="69" t="s">
        <v>19</v>
      </c>
      <c r="C33" s="59">
        <v>12505</v>
      </c>
      <c r="D33" s="59">
        <v>322</v>
      </c>
      <c r="E33" s="59">
        <v>12827</v>
      </c>
      <c r="F33" s="59">
        <v>12727</v>
      </c>
      <c r="G33" s="59">
        <v>216</v>
      </c>
      <c r="H33" s="59">
        <v>12943</v>
      </c>
      <c r="I33" s="59">
        <v>13027</v>
      </c>
      <c r="J33" s="59">
        <v>248</v>
      </c>
      <c r="K33" s="59">
        <v>13275</v>
      </c>
      <c r="L33" s="59">
        <v>12405</v>
      </c>
      <c r="M33" s="59">
        <v>263</v>
      </c>
      <c r="N33" s="59">
        <v>12668</v>
      </c>
      <c r="O33" s="59">
        <v>12069</v>
      </c>
      <c r="P33" s="59">
        <v>263</v>
      </c>
      <c r="Q33" s="59">
        <v>12332</v>
      </c>
      <c r="R33" s="59">
        <v>11497</v>
      </c>
      <c r="S33" s="59">
        <v>300</v>
      </c>
      <c r="T33" s="59">
        <v>11797</v>
      </c>
      <c r="U33" s="59">
        <v>10618</v>
      </c>
      <c r="V33" s="59">
        <v>261</v>
      </c>
      <c r="W33" s="59">
        <v>10879</v>
      </c>
      <c r="X33" s="59">
        <v>10095</v>
      </c>
      <c r="Y33" s="59">
        <v>294</v>
      </c>
      <c r="Z33" s="59">
        <v>10389</v>
      </c>
      <c r="AA33" s="59">
        <v>9166</v>
      </c>
      <c r="AB33" s="59">
        <v>305</v>
      </c>
      <c r="AC33" s="59">
        <v>9471</v>
      </c>
      <c r="AD33" s="59">
        <v>8291</v>
      </c>
      <c r="AE33" s="59">
        <v>276</v>
      </c>
      <c r="AF33" s="59">
        <v>8567</v>
      </c>
    </row>
    <row r="34" spans="2:32" x14ac:dyDescent="0.2">
      <c r="B34" s="69" t="s">
        <v>20</v>
      </c>
      <c r="C34" s="59">
        <v>9325</v>
      </c>
      <c r="D34" s="59">
        <v>400</v>
      </c>
      <c r="E34" s="59">
        <v>9725</v>
      </c>
      <c r="F34" s="59">
        <v>9145</v>
      </c>
      <c r="G34" s="59">
        <v>341</v>
      </c>
      <c r="H34" s="59">
        <v>9486</v>
      </c>
      <c r="I34" s="59">
        <v>8916</v>
      </c>
      <c r="J34" s="59">
        <v>219</v>
      </c>
      <c r="K34" s="59">
        <v>9135</v>
      </c>
      <c r="L34" s="59">
        <v>8538</v>
      </c>
      <c r="M34" s="59">
        <v>277</v>
      </c>
      <c r="N34" s="59">
        <v>8815</v>
      </c>
      <c r="O34" s="59">
        <v>8516</v>
      </c>
      <c r="P34" s="59">
        <v>46</v>
      </c>
      <c r="Q34" s="59">
        <v>8562</v>
      </c>
      <c r="R34" s="59">
        <v>8249</v>
      </c>
      <c r="S34" s="59">
        <v>44</v>
      </c>
      <c r="T34" s="59">
        <v>8293</v>
      </c>
      <c r="U34" s="59">
        <v>7683</v>
      </c>
      <c r="V34" s="59">
        <v>35</v>
      </c>
      <c r="W34" s="59">
        <v>7718</v>
      </c>
      <c r="X34" s="59">
        <v>7443</v>
      </c>
      <c r="Y34" s="59">
        <v>46</v>
      </c>
      <c r="Z34" s="59">
        <v>7489</v>
      </c>
      <c r="AA34" s="59">
        <v>7354</v>
      </c>
      <c r="AB34" s="59">
        <v>37</v>
      </c>
      <c r="AC34" s="59">
        <v>7391</v>
      </c>
      <c r="AD34" s="59">
        <v>6862</v>
      </c>
      <c r="AE34" s="59">
        <v>342</v>
      </c>
      <c r="AF34" s="59">
        <v>7204</v>
      </c>
    </row>
    <row r="35" spans="2:32" x14ac:dyDescent="0.2">
      <c r="B35" s="69" t="s">
        <v>21</v>
      </c>
      <c r="C35" s="59">
        <v>4974</v>
      </c>
      <c r="D35" s="59">
        <v>141</v>
      </c>
      <c r="E35" s="59">
        <v>5115</v>
      </c>
      <c r="F35" s="59">
        <v>4917</v>
      </c>
      <c r="G35" s="59">
        <v>112</v>
      </c>
      <c r="H35" s="59">
        <v>5029</v>
      </c>
      <c r="I35" s="59">
        <v>4877</v>
      </c>
      <c r="J35" s="59">
        <v>92</v>
      </c>
      <c r="K35" s="59">
        <v>4969</v>
      </c>
      <c r="L35" s="59">
        <v>4783</v>
      </c>
      <c r="M35" s="59">
        <v>72</v>
      </c>
      <c r="N35" s="59">
        <v>4855</v>
      </c>
      <c r="O35" s="59">
        <v>4448</v>
      </c>
      <c r="P35" s="59">
        <v>73</v>
      </c>
      <c r="Q35" s="59">
        <v>4521</v>
      </c>
      <c r="R35" s="59">
        <v>4158</v>
      </c>
      <c r="S35" s="59">
        <v>62</v>
      </c>
      <c r="T35" s="59">
        <v>4220</v>
      </c>
      <c r="U35" s="59">
        <v>3786</v>
      </c>
      <c r="V35" s="59">
        <v>59</v>
      </c>
      <c r="W35" s="59">
        <v>3845</v>
      </c>
      <c r="X35" s="59">
        <v>3425</v>
      </c>
      <c r="Y35" s="59">
        <v>47</v>
      </c>
      <c r="Z35" s="59">
        <v>3472</v>
      </c>
      <c r="AA35" s="59">
        <v>3027</v>
      </c>
      <c r="AB35" s="59">
        <v>40</v>
      </c>
      <c r="AC35" s="59">
        <v>3067</v>
      </c>
      <c r="AD35" s="59">
        <v>2688</v>
      </c>
      <c r="AE35" s="59">
        <v>64</v>
      </c>
      <c r="AF35" s="59">
        <v>2752</v>
      </c>
    </row>
    <row r="36" spans="2:32" x14ac:dyDescent="0.2">
      <c r="B36" s="69" t="s">
        <v>22</v>
      </c>
      <c r="C36" s="59">
        <v>2887</v>
      </c>
      <c r="D36" s="59">
        <v>58</v>
      </c>
      <c r="E36" s="59">
        <v>2945</v>
      </c>
      <c r="F36" s="59">
        <v>2819</v>
      </c>
      <c r="G36" s="59">
        <v>57</v>
      </c>
      <c r="H36" s="59">
        <v>2876</v>
      </c>
      <c r="I36" s="59">
        <v>2743</v>
      </c>
      <c r="J36" s="59">
        <v>81</v>
      </c>
      <c r="K36" s="59">
        <v>2824</v>
      </c>
      <c r="L36" s="59">
        <v>2640</v>
      </c>
      <c r="M36" s="59">
        <v>77</v>
      </c>
      <c r="N36" s="59">
        <v>2717</v>
      </c>
      <c r="O36" s="59">
        <v>2518</v>
      </c>
      <c r="P36" s="59">
        <v>69</v>
      </c>
      <c r="Q36" s="59">
        <v>2587</v>
      </c>
      <c r="R36" s="59">
        <v>2194</v>
      </c>
      <c r="S36" s="59">
        <v>74</v>
      </c>
      <c r="T36" s="59">
        <v>2268</v>
      </c>
      <c r="U36" s="59">
        <v>2050</v>
      </c>
      <c r="V36" s="59">
        <v>71</v>
      </c>
      <c r="W36" s="59">
        <v>2121</v>
      </c>
      <c r="X36" s="59">
        <v>1771</v>
      </c>
      <c r="Y36" s="59">
        <v>90</v>
      </c>
      <c r="Z36" s="59">
        <v>1861</v>
      </c>
      <c r="AA36" s="59">
        <v>1552</v>
      </c>
      <c r="AB36" s="59">
        <v>60</v>
      </c>
      <c r="AC36" s="59">
        <v>1612</v>
      </c>
      <c r="AD36" s="59">
        <v>1585</v>
      </c>
      <c r="AE36" s="59">
        <v>75</v>
      </c>
      <c r="AF36" s="59">
        <v>1660</v>
      </c>
    </row>
    <row r="37" spans="2:32" x14ac:dyDescent="0.2">
      <c r="B37" s="69" t="s">
        <v>23</v>
      </c>
      <c r="C37" s="59">
        <v>7498</v>
      </c>
      <c r="D37" s="59">
        <v>106</v>
      </c>
      <c r="E37" s="59">
        <v>7604</v>
      </c>
      <c r="F37" s="59">
        <v>7536</v>
      </c>
      <c r="G37" s="59">
        <v>108</v>
      </c>
      <c r="H37" s="59">
        <v>7644</v>
      </c>
      <c r="I37" s="59">
        <v>7325</v>
      </c>
      <c r="J37" s="59">
        <v>99</v>
      </c>
      <c r="K37" s="59">
        <v>7424</v>
      </c>
      <c r="L37" s="59">
        <v>7313</v>
      </c>
      <c r="M37" s="59">
        <v>75</v>
      </c>
      <c r="N37" s="59">
        <v>7388</v>
      </c>
      <c r="O37" s="59">
        <v>7070</v>
      </c>
      <c r="P37" s="59">
        <v>101</v>
      </c>
      <c r="Q37" s="59">
        <v>7171</v>
      </c>
      <c r="R37" s="59">
        <v>6981</v>
      </c>
      <c r="S37" s="59">
        <v>103</v>
      </c>
      <c r="T37" s="59">
        <v>7084</v>
      </c>
      <c r="U37" s="59">
        <v>6879</v>
      </c>
      <c r="V37" s="59">
        <v>101</v>
      </c>
      <c r="W37" s="59">
        <v>6980</v>
      </c>
      <c r="X37" s="59">
        <v>6633</v>
      </c>
      <c r="Y37" s="59">
        <v>145</v>
      </c>
      <c r="Z37" s="59">
        <v>6778</v>
      </c>
      <c r="AA37" s="59">
        <v>6624</v>
      </c>
      <c r="AB37" s="59">
        <v>155</v>
      </c>
      <c r="AC37" s="59">
        <v>6779</v>
      </c>
      <c r="AD37" s="59">
        <v>6630</v>
      </c>
      <c r="AE37" s="59">
        <v>164</v>
      </c>
      <c r="AF37" s="59">
        <v>6794</v>
      </c>
    </row>
    <row r="38" spans="2:32" x14ac:dyDescent="0.2">
      <c r="B38" s="69" t="s">
        <v>24</v>
      </c>
      <c r="C38" s="59">
        <v>7047</v>
      </c>
      <c r="D38" s="59">
        <v>96</v>
      </c>
      <c r="E38" s="59">
        <v>7143</v>
      </c>
      <c r="F38" s="59">
        <v>7066</v>
      </c>
      <c r="G38" s="59">
        <v>66</v>
      </c>
      <c r="H38" s="59">
        <v>7132</v>
      </c>
      <c r="I38" s="59">
        <v>6654</v>
      </c>
      <c r="J38" s="59">
        <v>58</v>
      </c>
      <c r="K38" s="59">
        <v>6712</v>
      </c>
      <c r="L38" s="59">
        <v>6493</v>
      </c>
      <c r="M38" s="59">
        <v>57</v>
      </c>
      <c r="N38" s="59">
        <v>6550</v>
      </c>
      <c r="O38" s="59">
        <v>6246</v>
      </c>
      <c r="P38" s="59">
        <v>59</v>
      </c>
      <c r="Q38" s="59">
        <v>6305</v>
      </c>
      <c r="R38" s="59">
        <v>5963</v>
      </c>
      <c r="S38" s="59">
        <v>64</v>
      </c>
      <c r="T38" s="59">
        <v>6027</v>
      </c>
      <c r="U38" s="59">
        <v>5853</v>
      </c>
      <c r="V38" s="59">
        <v>59</v>
      </c>
      <c r="W38" s="59">
        <v>5912</v>
      </c>
      <c r="X38" s="59">
        <v>5475</v>
      </c>
      <c r="Y38" s="59">
        <v>110</v>
      </c>
      <c r="Z38" s="59">
        <v>5585</v>
      </c>
      <c r="AA38" s="59">
        <v>5357</v>
      </c>
      <c r="AB38" s="59">
        <v>144</v>
      </c>
      <c r="AC38" s="59">
        <v>5501</v>
      </c>
      <c r="AD38" s="59">
        <v>5132</v>
      </c>
      <c r="AE38" s="59">
        <v>154</v>
      </c>
      <c r="AF38" s="59">
        <v>5286</v>
      </c>
    </row>
    <row r="39" spans="2:32" x14ac:dyDescent="0.2">
      <c r="B39" s="69" t="s">
        <v>25</v>
      </c>
      <c r="C39" s="59">
        <v>7995</v>
      </c>
      <c r="D39" s="59">
        <v>31</v>
      </c>
      <c r="E39" s="59">
        <v>8026</v>
      </c>
      <c r="F39" s="59">
        <v>7884</v>
      </c>
      <c r="G39" s="59">
        <v>77</v>
      </c>
      <c r="H39" s="59">
        <v>7961</v>
      </c>
      <c r="I39" s="59">
        <v>7772</v>
      </c>
      <c r="J39" s="59">
        <v>88</v>
      </c>
      <c r="K39" s="59">
        <v>7860</v>
      </c>
      <c r="L39" s="59">
        <v>7544</v>
      </c>
      <c r="M39" s="59">
        <v>51</v>
      </c>
      <c r="N39" s="59">
        <v>7595</v>
      </c>
      <c r="O39" s="59">
        <v>7529</v>
      </c>
      <c r="P39" s="59">
        <v>58</v>
      </c>
      <c r="Q39" s="59">
        <v>7587</v>
      </c>
      <c r="R39" s="59">
        <v>7474</v>
      </c>
      <c r="S39" s="59">
        <v>109</v>
      </c>
      <c r="T39" s="59">
        <v>7583</v>
      </c>
      <c r="U39" s="59">
        <v>7570</v>
      </c>
      <c r="V39" s="59">
        <v>94</v>
      </c>
      <c r="W39" s="59">
        <v>7664</v>
      </c>
      <c r="X39" s="59">
        <v>7568</v>
      </c>
      <c r="Y39" s="59">
        <v>70</v>
      </c>
      <c r="Z39" s="59">
        <v>7638</v>
      </c>
      <c r="AA39" s="59">
        <v>7457</v>
      </c>
      <c r="AB39" s="59">
        <v>81</v>
      </c>
      <c r="AC39" s="59">
        <v>7538</v>
      </c>
      <c r="AD39" s="59">
        <v>7395</v>
      </c>
      <c r="AE39" s="59">
        <v>73</v>
      </c>
      <c r="AF39" s="59">
        <v>7468</v>
      </c>
    </row>
    <row r="40" spans="2:32" x14ac:dyDescent="0.2">
      <c r="B40" s="71" t="s">
        <v>26</v>
      </c>
      <c r="C40" s="62">
        <v>11873</v>
      </c>
      <c r="D40" s="62">
        <v>359</v>
      </c>
      <c r="E40" s="62">
        <v>12232</v>
      </c>
      <c r="F40" s="62">
        <v>12521</v>
      </c>
      <c r="G40" s="62">
        <v>313</v>
      </c>
      <c r="H40" s="62">
        <v>12834</v>
      </c>
      <c r="I40" s="62">
        <v>13053</v>
      </c>
      <c r="J40" s="62">
        <v>244</v>
      </c>
      <c r="K40" s="62">
        <v>13297</v>
      </c>
      <c r="L40" s="62">
        <v>13456</v>
      </c>
      <c r="M40" s="62">
        <v>255</v>
      </c>
      <c r="N40" s="62">
        <v>13711</v>
      </c>
      <c r="O40" s="62">
        <v>13610</v>
      </c>
      <c r="P40" s="62">
        <v>234</v>
      </c>
      <c r="Q40" s="62">
        <v>13844</v>
      </c>
      <c r="R40" s="62">
        <v>13975</v>
      </c>
      <c r="S40" s="62">
        <v>246</v>
      </c>
      <c r="T40" s="62">
        <v>14221</v>
      </c>
      <c r="U40" s="62">
        <v>14132</v>
      </c>
      <c r="V40" s="62">
        <v>266</v>
      </c>
      <c r="W40" s="62">
        <v>14398</v>
      </c>
      <c r="X40" s="62">
        <v>14251</v>
      </c>
      <c r="Y40" s="62">
        <v>230</v>
      </c>
      <c r="Z40" s="62">
        <v>14481</v>
      </c>
      <c r="AA40" s="62">
        <v>14274</v>
      </c>
      <c r="AB40" s="62">
        <v>318</v>
      </c>
      <c r="AC40" s="62">
        <v>14592</v>
      </c>
      <c r="AD40" s="62">
        <v>14362</v>
      </c>
      <c r="AE40" s="62">
        <v>275</v>
      </c>
      <c r="AF40" s="62">
        <v>14637</v>
      </c>
    </row>
    <row r="41" spans="2:32" x14ac:dyDescent="0.2">
      <c r="B41" s="23" t="s">
        <v>27</v>
      </c>
      <c r="C41" s="21">
        <f>SUBTOTAL(109,'Degree-NonDegree Enrollment'!$C$27:$C$40)</f>
        <v>100612</v>
      </c>
      <c r="D41" s="21">
        <f>SUBTOTAL(109,'Degree-NonDegree Enrollment'!$D$27:$D$40)</f>
        <v>2362</v>
      </c>
      <c r="E41" s="21">
        <f>SUBTOTAL(109,'Degree-NonDegree Enrollment'!$E$27:$E$40)</f>
        <v>102974</v>
      </c>
      <c r="F41" s="21">
        <f>SUBTOTAL(105,'Degree-NonDegree Enrollment'!$F$27:$F$40)</f>
        <v>1102</v>
      </c>
      <c r="G41" s="21">
        <f>SUBTOTAL(109,'Degree-NonDegree Enrollment'!$G$27:$G$40)</f>
        <v>1870</v>
      </c>
      <c r="H41" s="21">
        <f>SUBTOTAL(109,'Degree-NonDegree Enrollment'!$H$27:$H$40)</f>
        <v>102900</v>
      </c>
      <c r="I41" s="21">
        <f>SUBTOTAL(109,'Degree-NonDegree Enrollment'!$I$27:$I$40)</f>
        <v>98885</v>
      </c>
      <c r="J41" s="21">
        <f>SUBTOTAL(109,'Degree-NonDegree Enrollment'!$J$27:$J$40)</f>
        <v>1682</v>
      </c>
      <c r="K41" s="21">
        <f>SUBTOTAL(109,'Degree-NonDegree Enrollment'!$K$27:$K$40)</f>
        <v>100567</v>
      </c>
      <c r="L41" s="21">
        <f>SUBTOTAL(109,'Degree-NonDegree Enrollment'!$L$27:$L$40)</f>
        <v>96902</v>
      </c>
      <c r="M41" s="21">
        <f>SUBTOTAL(109,'Degree-NonDegree Enrollment'!$M$27:$M$40)</f>
        <v>1691</v>
      </c>
      <c r="N41" s="21">
        <f>SUBTOTAL(109,'Degree-NonDegree Enrollment'!$N$27:$N$40)</f>
        <v>98593</v>
      </c>
      <c r="O41" s="21">
        <f>SUBTOTAL(109,'Degree-NonDegree Enrollment'!$O$27:$O$40)</f>
        <v>94507</v>
      </c>
      <c r="P41" s="21">
        <f>SUBTOTAL(109,'Degree-NonDegree Enrollment'!$P$27:$P$40)</f>
        <v>1499</v>
      </c>
      <c r="Q41" s="21">
        <f>SUBTOTAL(109,'Degree-NonDegree Enrollment'!$Q$27:$Q$40)</f>
        <v>96006</v>
      </c>
      <c r="R41" s="21">
        <f>SUBTOTAL(109,'Degree-NonDegree Enrollment'!$R$27:$R$40)</f>
        <v>91471</v>
      </c>
      <c r="S41" s="21">
        <f>SUBTOTAL(109,'Degree-NonDegree Enrollment'!$S$27:$S$40)</f>
        <v>1620</v>
      </c>
      <c r="T41" s="21">
        <f>SUBTOTAL(109,'Degree-NonDegree Enrollment'!$T$27:$T$40)</f>
        <v>93091</v>
      </c>
      <c r="U41" s="21">
        <f>SUBTOTAL(109,'Degree-NonDegree Enrollment'!$U$27:$U$40)</f>
        <v>88529</v>
      </c>
      <c r="V41" s="21">
        <f>SUBTOTAL(109,'Degree-NonDegree Enrollment'!$V$27:$V$40)</f>
        <v>1543</v>
      </c>
      <c r="W41" s="21">
        <f>SUBTOTAL(109,'Degree-NonDegree Enrollment'!$W$27:$W$40)</f>
        <v>90072</v>
      </c>
      <c r="X41" s="21">
        <f>SUBTOTAL(109,'Degree-NonDegree Enrollment'!$X$27:$X$40)</f>
        <v>85543</v>
      </c>
      <c r="Y41" s="21">
        <f>SUBTOTAL(109,'Degree-NonDegree Enrollment'!$Y$27:$Y$40)</f>
        <v>1699</v>
      </c>
      <c r="Z41" s="21">
        <f>SUBTOTAL(109,'Degree-NonDegree Enrollment'!$Z$27:$Z$40)</f>
        <v>87242</v>
      </c>
      <c r="AA41" s="21">
        <f>SUBTOTAL(109,'Degree-NonDegree Enrollment'!$AA$27:$AA$40)</f>
        <v>81244</v>
      </c>
      <c r="AB41" s="21">
        <f>SUBTOTAL(109,'Degree-NonDegree Enrollment'!$AB$27:$AB$40)</f>
        <v>1830</v>
      </c>
      <c r="AC41" s="21">
        <f>SUBTOTAL(109,'Degree-NonDegree Enrollment'!$AC$27:$AC$40)</f>
        <v>83074</v>
      </c>
      <c r="AD41" s="21">
        <f>SUBTOTAL(109,'Degree-NonDegree Enrollment'!$AD$27:$AD$40)</f>
        <v>78187</v>
      </c>
      <c r="AE41" s="21">
        <f>SUBTOTAL(109,'Degree-NonDegree Enrollment'!$AE$27:$AE$40)</f>
        <v>2239</v>
      </c>
      <c r="AF41" s="21">
        <f>SUBTOTAL(109,'Degree-NonDegree Enrollment'!$AF$27:$AF$40)</f>
        <v>80426</v>
      </c>
    </row>
    <row r="44" spans="2:32" ht="15" x14ac:dyDescent="0.2">
      <c r="B44" s="131" t="s">
        <v>151</v>
      </c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</row>
    <row r="45" spans="2:32" x14ac:dyDescent="0.2">
      <c r="B45" s="134" t="s">
        <v>1</v>
      </c>
      <c r="C45" s="133" t="str">
        <f>CONCATENATE(IF(RIGHT(Parameters!B1,1) = "1","Fall ", "Spring "),IF(RIGHT(Parameters!B1,1) = "1",LEFT(Parameters!B1,4) -9, LEFT(Parameters!B1,4) - 8))</f>
        <v>Fall 2010</v>
      </c>
      <c r="D45" s="133"/>
      <c r="E45" s="133"/>
      <c r="F45" s="133" t="str">
        <f>CONCATENATE(IF(RIGHT(Parameters!B1,1) = "1","Fall ", "Spring "),IF(RIGHT(Parameters!B1,1) = "1",LEFT(Parameters!B1,4) -8, LEFT(Parameters!B1,4) - 7))</f>
        <v>Fall 2011</v>
      </c>
      <c r="G45" s="133"/>
      <c r="H45" s="133"/>
      <c r="I45" s="133" t="str">
        <f>CONCATENATE(IF(RIGHT(Parameters!B1,1) = "1","Fall ", "Spring "),IF(RIGHT(Parameters!B1,1) = "1",LEFT(Parameters!B1,4) -7, LEFT(Parameters!B1,4) - 6))</f>
        <v>Fall 2012</v>
      </c>
      <c r="J45" s="133"/>
      <c r="K45" s="133"/>
      <c r="L45" s="133" t="str">
        <f>CONCATENATE(IF(RIGHT(Parameters!B1,1) = "1","Fall ", "Spring "),IF(RIGHT(Parameters!B1,1) = "1",LEFT(Parameters!B1,4) -6, LEFT(Parameters!B1,4) - 5))</f>
        <v>Fall 2013</v>
      </c>
      <c r="M45" s="133"/>
      <c r="N45" s="133"/>
      <c r="O45" s="133" t="str">
        <f>CONCATENATE(IF(RIGHT(Parameters!B1,1) = "1","Fall ", "Spring "),IF(RIGHT(Parameters!B1,1) = "1",LEFT(Parameters!B1,4) -5, LEFT(Parameters!B1,4) - 4))</f>
        <v>Fall 2014</v>
      </c>
      <c r="P45" s="133"/>
      <c r="Q45" s="133"/>
      <c r="R45" s="133" t="str">
        <f>CONCATENATE(IF(RIGHT(Parameters!B1,1) = "1","Fall ", "Spring "),IF(RIGHT(Parameters!B1,1) = "1",LEFT(Parameters!B1,4) -4, LEFT(Parameters!B1,4) - 3))</f>
        <v>Fall 2015</v>
      </c>
      <c r="S45" s="133"/>
      <c r="T45" s="133"/>
      <c r="U45" s="133" t="str">
        <f>CONCATENATE(IF(RIGHT(Parameters!B1,1) = "1","Fall ", "Spring "),IF(RIGHT(Parameters!B1,1) = "1",LEFT(Parameters!B1,4) -3, LEFT(Parameters!B1,4) -2 ))</f>
        <v>Fall 2016</v>
      </c>
      <c r="V45" s="133"/>
      <c r="W45" s="133"/>
      <c r="X45" s="133" t="str">
        <f>CONCATENATE(IF(RIGHT(Parameters!B1,1) = "1","Fall ", "Spring "),IF(RIGHT(Parameters!B1,1) = "1",LEFT(Parameters!B1,4) -2, LEFT(Parameters!B1,4) -1 ))</f>
        <v>Fall 2017</v>
      </c>
      <c r="Y45" s="133"/>
      <c r="Z45" s="133"/>
      <c r="AA45" s="133" t="str">
        <f>CONCATENATE(IF(RIGHT(Parameters!B1,1) = "1","Fall ", "Spring "),IF(RIGHT(Parameters!B1,1) = "1",LEFT(Parameters!B1,4) -1, LEFT(Parameters!B1,4)  ))</f>
        <v>Fall 2018</v>
      </c>
      <c r="AB45" s="133"/>
      <c r="AC45" s="133"/>
      <c r="AD45" s="133" t="str">
        <f>CONCATENATE(IF(RIGHT(Parameters!B1,1) = "1","Fall ", "Spring "),IF(RIGHT(Parameters!B1,1) = "1",LEFT(Parameters!B1,4), LEFT(Parameters!B1,4) + 1))</f>
        <v>Fall 2019</v>
      </c>
      <c r="AE45" s="133"/>
      <c r="AF45" s="133"/>
    </row>
    <row r="46" spans="2:32" ht="28.5" x14ac:dyDescent="0.2">
      <c r="B46" s="135"/>
      <c r="C46" s="54" t="s">
        <v>137</v>
      </c>
      <c r="D46" s="54" t="s">
        <v>138</v>
      </c>
      <c r="E46" s="54" t="s">
        <v>35</v>
      </c>
      <c r="F46" s="54" t="s">
        <v>137</v>
      </c>
      <c r="G46" s="54" t="s">
        <v>138</v>
      </c>
      <c r="H46" s="54" t="s">
        <v>35</v>
      </c>
      <c r="I46" s="54" t="s">
        <v>137</v>
      </c>
      <c r="J46" s="54" t="s">
        <v>138</v>
      </c>
      <c r="K46" s="54" t="s">
        <v>35</v>
      </c>
      <c r="L46" s="54" t="s">
        <v>137</v>
      </c>
      <c r="M46" s="54" t="s">
        <v>138</v>
      </c>
      <c r="N46" s="54" t="s">
        <v>35</v>
      </c>
      <c r="O46" s="54" t="s">
        <v>137</v>
      </c>
      <c r="P46" s="54" t="s">
        <v>138</v>
      </c>
      <c r="Q46" s="54" t="s">
        <v>35</v>
      </c>
      <c r="R46" s="54" t="s">
        <v>137</v>
      </c>
      <c r="S46" s="54" t="s">
        <v>138</v>
      </c>
      <c r="T46" s="54" t="s">
        <v>35</v>
      </c>
      <c r="U46" s="54" t="s">
        <v>137</v>
      </c>
      <c r="V46" s="54" t="s">
        <v>138</v>
      </c>
      <c r="W46" s="54" t="s">
        <v>35</v>
      </c>
      <c r="X46" s="54" t="s">
        <v>137</v>
      </c>
      <c r="Y46" s="54" t="s">
        <v>138</v>
      </c>
      <c r="Z46" s="54" t="s">
        <v>35</v>
      </c>
      <c r="AA46" s="54" t="s">
        <v>137</v>
      </c>
      <c r="AB46" s="54" t="s">
        <v>138</v>
      </c>
      <c r="AC46" s="54" t="s">
        <v>35</v>
      </c>
      <c r="AD46" s="54" t="s">
        <v>137</v>
      </c>
      <c r="AE46" s="54" t="s">
        <v>138</v>
      </c>
      <c r="AF46" s="54" t="s">
        <v>35</v>
      </c>
    </row>
    <row r="47" spans="2:32" ht="17.25" hidden="1" customHeight="1" thickBot="1" x14ac:dyDescent="0.25">
      <c r="B47" s="26" t="s">
        <v>2</v>
      </c>
      <c r="C47" s="26" t="s">
        <v>139</v>
      </c>
      <c r="D47" s="26" t="s">
        <v>84</v>
      </c>
      <c r="E47" s="26" t="s">
        <v>86</v>
      </c>
      <c r="F47" s="26" t="s">
        <v>140</v>
      </c>
      <c r="G47" s="26" t="s">
        <v>87</v>
      </c>
      <c r="H47" s="26" t="s">
        <v>89</v>
      </c>
      <c r="I47" s="26" t="s">
        <v>141</v>
      </c>
      <c r="J47" s="26" t="s">
        <v>90</v>
      </c>
      <c r="K47" s="26" t="s">
        <v>92</v>
      </c>
      <c r="L47" s="26" t="s">
        <v>142</v>
      </c>
      <c r="M47" s="26" t="s">
        <v>93</v>
      </c>
      <c r="N47" s="26" t="s">
        <v>95</v>
      </c>
      <c r="O47" s="26" t="s">
        <v>143</v>
      </c>
      <c r="P47" s="26" t="s">
        <v>96</v>
      </c>
      <c r="Q47" s="26" t="s">
        <v>98</v>
      </c>
      <c r="R47" s="26" t="s">
        <v>144</v>
      </c>
      <c r="S47" s="26" t="s">
        <v>99</v>
      </c>
      <c r="T47" s="26" t="s">
        <v>101</v>
      </c>
      <c r="U47" s="26" t="s">
        <v>145</v>
      </c>
      <c r="V47" s="26" t="s">
        <v>102</v>
      </c>
      <c r="W47" s="26" t="s">
        <v>104</v>
      </c>
      <c r="X47" s="26" t="s">
        <v>146</v>
      </c>
      <c r="Y47" s="26" t="s">
        <v>105</v>
      </c>
      <c r="Z47" s="26" t="s">
        <v>147</v>
      </c>
      <c r="AA47" s="26" t="s">
        <v>148</v>
      </c>
      <c r="AB47" s="26" t="s">
        <v>108</v>
      </c>
      <c r="AC47" s="26" t="s">
        <v>110</v>
      </c>
      <c r="AD47" s="26" t="s">
        <v>149</v>
      </c>
      <c r="AE47" s="26" t="s">
        <v>111</v>
      </c>
      <c r="AF47" s="26" t="s">
        <v>113</v>
      </c>
    </row>
    <row r="48" spans="2:32" x14ac:dyDescent="0.2">
      <c r="B48" s="67" t="s">
        <v>13</v>
      </c>
      <c r="C48" s="57">
        <v>879</v>
      </c>
      <c r="D48" s="57">
        <v>76</v>
      </c>
      <c r="E48" s="57">
        <v>955</v>
      </c>
      <c r="F48" s="57">
        <v>819</v>
      </c>
      <c r="G48" s="57">
        <v>84</v>
      </c>
      <c r="H48" s="57">
        <v>903</v>
      </c>
      <c r="I48" s="57">
        <v>712</v>
      </c>
      <c r="J48" s="57">
        <v>35</v>
      </c>
      <c r="K48" s="57">
        <v>747</v>
      </c>
      <c r="L48" s="57">
        <v>671</v>
      </c>
      <c r="M48" s="57">
        <v>40</v>
      </c>
      <c r="N48" s="57">
        <v>711</v>
      </c>
      <c r="O48" s="57">
        <v>651</v>
      </c>
      <c r="P48" s="57">
        <v>28</v>
      </c>
      <c r="Q48" s="57">
        <v>679</v>
      </c>
      <c r="R48" s="57">
        <v>594</v>
      </c>
      <c r="S48" s="57">
        <v>25</v>
      </c>
      <c r="T48" s="57">
        <v>619</v>
      </c>
      <c r="U48" s="57">
        <v>644</v>
      </c>
      <c r="V48" s="57">
        <v>19</v>
      </c>
      <c r="W48" s="57">
        <v>663</v>
      </c>
      <c r="X48" s="57">
        <v>663</v>
      </c>
      <c r="Y48" s="57">
        <v>18</v>
      </c>
      <c r="Z48" s="57">
        <v>681</v>
      </c>
      <c r="AA48" s="57">
        <v>658</v>
      </c>
      <c r="AB48" s="57">
        <v>13</v>
      </c>
      <c r="AC48" s="57">
        <v>671</v>
      </c>
      <c r="AD48" s="57">
        <v>676</v>
      </c>
      <c r="AE48" s="57">
        <v>21</v>
      </c>
      <c r="AF48" s="57">
        <v>697</v>
      </c>
    </row>
    <row r="49" spans="2:32" x14ac:dyDescent="0.2">
      <c r="B49" s="69" t="s">
        <v>14</v>
      </c>
      <c r="C49" s="59">
        <v>1975</v>
      </c>
      <c r="D49" s="59">
        <v>6</v>
      </c>
      <c r="E49" s="59">
        <v>1981</v>
      </c>
      <c r="F49" s="59">
        <v>2057</v>
      </c>
      <c r="G49" s="59">
        <v>9</v>
      </c>
      <c r="H49" s="59">
        <v>2066</v>
      </c>
      <c r="I49" s="59">
        <v>1920</v>
      </c>
      <c r="J49" s="59">
        <v>7</v>
      </c>
      <c r="K49" s="59">
        <v>1927</v>
      </c>
      <c r="L49" s="59">
        <v>1790</v>
      </c>
      <c r="M49" s="59">
        <v>3</v>
      </c>
      <c r="N49" s="59">
        <v>1793</v>
      </c>
      <c r="O49" s="59">
        <v>1762</v>
      </c>
      <c r="P49" s="59">
        <v>140</v>
      </c>
      <c r="Q49" s="59">
        <v>1902</v>
      </c>
      <c r="R49" s="59">
        <v>1962</v>
      </c>
      <c r="S49" s="59">
        <v>107</v>
      </c>
      <c r="T49" s="59">
        <v>2069</v>
      </c>
      <c r="U49" s="59">
        <v>1963</v>
      </c>
      <c r="V49" s="59">
        <v>68</v>
      </c>
      <c r="W49" s="59">
        <v>2031</v>
      </c>
      <c r="X49" s="59">
        <v>2189</v>
      </c>
      <c r="Y49" s="59">
        <v>42</v>
      </c>
      <c r="Z49" s="59">
        <v>2231</v>
      </c>
      <c r="AA49" s="59">
        <v>2091</v>
      </c>
      <c r="AB49" s="59">
        <v>47</v>
      </c>
      <c r="AC49" s="59">
        <v>2138</v>
      </c>
      <c r="AD49" s="59">
        <v>1947</v>
      </c>
      <c r="AE49" s="59">
        <v>39</v>
      </c>
      <c r="AF49" s="59">
        <v>1986</v>
      </c>
    </row>
    <row r="50" spans="2:32" x14ac:dyDescent="0.2">
      <c r="B50" s="69" t="s">
        <v>15</v>
      </c>
      <c r="C50" s="59">
        <v>77</v>
      </c>
      <c r="D50" s="59">
        <v>1</v>
      </c>
      <c r="E50" s="59">
        <v>78</v>
      </c>
      <c r="F50" s="59">
        <v>59</v>
      </c>
      <c r="G50" s="59">
        <v>0</v>
      </c>
      <c r="H50" s="59">
        <v>59</v>
      </c>
      <c r="I50" s="59">
        <v>60</v>
      </c>
      <c r="J50" s="59">
        <v>0</v>
      </c>
      <c r="K50" s="59">
        <v>60</v>
      </c>
      <c r="L50" s="59">
        <v>33</v>
      </c>
      <c r="M50" s="59">
        <v>0</v>
      </c>
      <c r="N50" s="59">
        <v>33</v>
      </c>
      <c r="O50" s="59">
        <v>25</v>
      </c>
      <c r="P50" s="59">
        <v>0</v>
      </c>
      <c r="Q50" s="59">
        <v>25</v>
      </c>
      <c r="R50" s="59">
        <v>25</v>
      </c>
      <c r="S50" s="59">
        <v>0</v>
      </c>
      <c r="T50" s="59">
        <v>25</v>
      </c>
      <c r="U50" s="59">
        <v>37</v>
      </c>
      <c r="V50" s="59">
        <v>0</v>
      </c>
      <c r="W50" s="59">
        <v>37</v>
      </c>
      <c r="X50" s="59">
        <v>32</v>
      </c>
      <c r="Y50" s="59">
        <v>0</v>
      </c>
      <c r="Z50" s="59">
        <v>32</v>
      </c>
      <c r="AA50" s="59">
        <v>0</v>
      </c>
      <c r="AB50" s="59">
        <v>0</v>
      </c>
      <c r="AC50" s="59">
        <v>0</v>
      </c>
      <c r="AD50" s="59">
        <v>0</v>
      </c>
      <c r="AE50" s="59">
        <v>0</v>
      </c>
      <c r="AF50" s="59">
        <v>0</v>
      </c>
    </row>
    <row r="51" spans="2:32" x14ac:dyDescent="0.2">
      <c r="B51" s="69" t="s">
        <v>16</v>
      </c>
      <c r="C51" s="59">
        <v>906</v>
      </c>
      <c r="D51" s="59">
        <v>184</v>
      </c>
      <c r="E51" s="59">
        <v>1090</v>
      </c>
      <c r="F51" s="59">
        <v>1108</v>
      </c>
      <c r="G51" s="59">
        <v>7</v>
      </c>
      <c r="H51" s="59">
        <v>1115</v>
      </c>
      <c r="I51" s="59">
        <v>995</v>
      </c>
      <c r="J51" s="59">
        <v>7</v>
      </c>
      <c r="K51" s="59">
        <v>1002</v>
      </c>
      <c r="L51" s="59">
        <v>864</v>
      </c>
      <c r="M51" s="59">
        <v>17</v>
      </c>
      <c r="N51" s="59">
        <v>881</v>
      </c>
      <c r="O51" s="59">
        <v>797</v>
      </c>
      <c r="P51" s="59">
        <v>9</v>
      </c>
      <c r="Q51" s="59">
        <v>806</v>
      </c>
      <c r="R51" s="59">
        <v>807</v>
      </c>
      <c r="S51" s="59">
        <v>6</v>
      </c>
      <c r="T51" s="59">
        <v>813</v>
      </c>
      <c r="U51" s="59">
        <v>884</v>
      </c>
      <c r="V51" s="59">
        <v>10</v>
      </c>
      <c r="W51" s="59">
        <v>894</v>
      </c>
      <c r="X51" s="59">
        <v>894</v>
      </c>
      <c r="Y51" s="59">
        <v>10</v>
      </c>
      <c r="Z51" s="59">
        <v>904</v>
      </c>
      <c r="AA51" s="59">
        <v>922</v>
      </c>
      <c r="AB51" s="59">
        <v>5</v>
      </c>
      <c r="AC51" s="59">
        <v>927</v>
      </c>
      <c r="AD51" s="59">
        <v>923</v>
      </c>
      <c r="AE51" s="59">
        <v>4</v>
      </c>
      <c r="AF51" s="59">
        <v>927</v>
      </c>
    </row>
    <row r="52" spans="2:32" x14ac:dyDescent="0.2">
      <c r="B52" s="69" t="s">
        <v>17</v>
      </c>
      <c r="C52" s="59">
        <v>833</v>
      </c>
      <c r="D52" s="59">
        <v>182</v>
      </c>
      <c r="E52" s="59">
        <v>1015</v>
      </c>
      <c r="F52" s="59">
        <v>630</v>
      </c>
      <c r="G52" s="59">
        <v>67</v>
      </c>
      <c r="H52" s="59">
        <v>697</v>
      </c>
      <c r="I52" s="59">
        <v>541</v>
      </c>
      <c r="J52" s="59">
        <v>47</v>
      </c>
      <c r="K52" s="59">
        <v>588</v>
      </c>
      <c r="L52" s="59">
        <v>517</v>
      </c>
      <c r="M52" s="59">
        <v>75</v>
      </c>
      <c r="N52" s="59">
        <v>592</v>
      </c>
      <c r="O52" s="59">
        <v>589</v>
      </c>
      <c r="P52" s="59">
        <v>27</v>
      </c>
      <c r="Q52" s="59">
        <v>616</v>
      </c>
      <c r="R52" s="59">
        <v>589</v>
      </c>
      <c r="S52" s="59">
        <v>72</v>
      </c>
      <c r="T52" s="59">
        <v>661</v>
      </c>
      <c r="U52" s="59">
        <v>581</v>
      </c>
      <c r="V52" s="59">
        <v>90</v>
      </c>
      <c r="W52" s="59">
        <v>671</v>
      </c>
      <c r="X52" s="59">
        <v>603</v>
      </c>
      <c r="Y52" s="59">
        <v>88</v>
      </c>
      <c r="Z52" s="59">
        <v>691</v>
      </c>
      <c r="AA52" s="59">
        <v>661</v>
      </c>
      <c r="AB52" s="59">
        <v>51</v>
      </c>
      <c r="AC52" s="59">
        <v>712</v>
      </c>
      <c r="AD52" s="59">
        <v>739</v>
      </c>
      <c r="AE52" s="59">
        <v>58</v>
      </c>
      <c r="AF52" s="59">
        <v>797</v>
      </c>
    </row>
    <row r="53" spans="2:32" x14ac:dyDescent="0.2">
      <c r="B53" s="69" t="s">
        <v>18</v>
      </c>
      <c r="C53" s="59">
        <v>1638</v>
      </c>
      <c r="D53" s="59">
        <v>307</v>
      </c>
      <c r="E53" s="59">
        <v>1945</v>
      </c>
      <c r="F53" s="59">
        <v>1446</v>
      </c>
      <c r="G53" s="59">
        <v>167</v>
      </c>
      <c r="H53" s="59">
        <v>1613</v>
      </c>
      <c r="I53" s="59">
        <v>1300</v>
      </c>
      <c r="J53" s="59">
        <v>72</v>
      </c>
      <c r="K53" s="59">
        <v>1372</v>
      </c>
      <c r="L53" s="59">
        <v>1199</v>
      </c>
      <c r="M53" s="59">
        <v>35</v>
      </c>
      <c r="N53" s="59">
        <v>1234</v>
      </c>
      <c r="O53" s="59">
        <v>1232</v>
      </c>
      <c r="P53" s="59">
        <v>10</v>
      </c>
      <c r="Q53" s="59">
        <v>1242</v>
      </c>
      <c r="R53" s="59">
        <v>1280</v>
      </c>
      <c r="S53" s="59">
        <v>23</v>
      </c>
      <c r="T53" s="59">
        <v>1303</v>
      </c>
      <c r="U53" s="59">
        <v>1309</v>
      </c>
      <c r="V53" s="59">
        <v>32</v>
      </c>
      <c r="W53" s="59">
        <v>1341</v>
      </c>
      <c r="X53" s="59">
        <v>1262</v>
      </c>
      <c r="Y53" s="59">
        <v>22</v>
      </c>
      <c r="Z53" s="59">
        <v>1284</v>
      </c>
      <c r="AA53" s="59">
        <v>1240</v>
      </c>
      <c r="AB53" s="59">
        <v>22</v>
      </c>
      <c r="AC53" s="59">
        <v>1262</v>
      </c>
      <c r="AD53" s="59">
        <v>1229</v>
      </c>
      <c r="AE53" s="59">
        <v>18</v>
      </c>
      <c r="AF53" s="59">
        <v>1247</v>
      </c>
    </row>
    <row r="54" spans="2:32" x14ac:dyDescent="0.2">
      <c r="B54" s="69" t="s">
        <v>19</v>
      </c>
      <c r="C54" s="59">
        <v>2250</v>
      </c>
      <c r="D54" s="59">
        <v>49</v>
      </c>
      <c r="E54" s="59">
        <v>2299</v>
      </c>
      <c r="F54" s="59">
        <v>2153</v>
      </c>
      <c r="G54" s="59">
        <v>36</v>
      </c>
      <c r="H54" s="59">
        <v>2189</v>
      </c>
      <c r="I54" s="59">
        <v>2219</v>
      </c>
      <c r="J54" s="59">
        <v>102</v>
      </c>
      <c r="K54" s="59">
        <v>2321</v>
      </c>
      <c r="L54" s="59">
        <v>2134</v>
      </c>
      <c r="M54" s="59">
        <v>123</v>
      </c>
      <c r="N54" s="59">
        <v>2257</v>
      </c>
      <c r="O54" s="59">
        <v>2123</v>
      </c>
      <c r="P54" s="59">
        <v>116</v>
      </c>
      <c r="Q54" s="59">
        <v>2239</v>
      </c>
      <c r="R54" s="59">
        <v>2194</v>
      </c>
      <c r="S54" s="59">
        <v>44</v>
      </c>
      <c r="T54" s="59">
        <v>2238</v>
      </c>
      <c r="U54" s="59">
        <v>2182</v>
      </c>
      <c r="V54" s="59">
        <v>53</v>
      </c>
      <c r="W54" s="59">
        <v>2235</v>
      </c>
      <c r="X54" s="59">
        <v>2078</v>
      </c>
      <c r="Y54" s="59">
        <v>95</v>
      </c>
      <c r="Z54" s="59">
        <v>2173</v>
      </c>
      <c r="AA54" s="59">
        <v>2074</v>
      </c>
      <c r="AB54" s="59">
        <v>36</v>
      </c>
      <c r="AC54" s="59">
        <v>2110</v>
      </c>
      <c r="AD54" s="59">
        <v>2057</v>
      </c>
      <c r="AE54" s="59">
        <v>12</v>
      </c>
      <c r="AF54" s="59">
        <v>2069</v>
      </c>
    </row>
    <row r="55" spans="2:32" x14ac:dyDescent="0.2">
      <c r="B55" s="69" t="s">
        <v>20</v>
      </c>
      <c r="C55" s="59">
        <v>782</v>
      </c>
      <c r="D55" s="59">
        <v>200</v>
      </c>
      <c r="E55" s="59">
        <v>982</v>
      </c>
      <c r="F55" s="59">
        <v>730</v>
      </c>
      <c r="G55" s="59">
        <v>67</v>
      </c>
      <c r="H55" s="59">
        <v>797</v>
      </c>
      <c r="I55" s="59">
        <v>627</v>
      </c>
      <c r="J55" s="59">
        <v>42</v>
      </c>
      <c r="K55" s="59">
        <v>669</v>
      </c>
      <c r="L55" s="59">
        <v>649</v>
      </c>
      <c r="M55" s="59">
        <v>49</v>
      </c>
      <c r="N55" s="59">
        <v>698</v>
      </c>
      <c r="O55" s="59">
        <v>608</v>
      </c>
      <c r="P55" s="59">
        <v>48</v>
      </c>
      <c r="Q55" s="59">
        <v>656</v>
      </c>
      <c r="R55" s="59">
        <v>670</v>
      </c>
      <c r="S55" s="59">
        <v>37</v>
      </c>
      <c r="T55" s="59">
        <v>707</v>
      </c>
      <c r="U55" s="59">
        <v>745</v>
      </c>
      <c r="V55" s="59">
        <v>50</v>
      </c>
      <c r="W55" s="59">
        <v>795</v>
      </c>
      <c r="X55" s="59">
        <v>780</v>
      </c>
      <c r="Y55" s="59">
        <v>60</v>
      </c>
      <c r="Z55" s="59">
        <v>840</v>
      </c>
      <c r="AA55" s="59">
        <v>848</v>
      </c>
      <c r="AB55" s="59">
        <v>70</v>
      </c>
      <c r="AC55" s="59">
        <v>918</v>
      </c>
      <c r="AD55" s="59">
        <v>951</v>
      </c>
      <c r="AE55" s="59">
        <v>44</v>
      </c>
      <c r="AF55" s="59">
        <v>995</v>
      </c>
    </row>
    <row r="56" spans="2:32" x14ac:dyDescent="0.2">
      <c r="B56" s="69" t="s">
        <v>21</v>
      </c>
      <c r="C56" s="59">
        <v>305</v>
      </c>
      <c r="D56" s="59">
        <v>31</v>
      </c>
      <c r="E56" s="59">
        <v>336</v>
      </c>
      <c r="F56" s="59">
        <v>318</v>
      </c>
      <c r="G56" s="59">
        <v>19</v>
      </c>
      <c r="H56" s="59">
        <v>337</v>
      </c>
      <c r="I56" s="59">
        <v>335</v>
      </c>
      <c r="J56" s="59">
        <v>24</v>
      </c>
      <c r="K56" s="59">
        <v>359</v>
      </c>
      <c r="L56" s="59">
        <v>397</v>
      </c>
      <c r="M56" s="59">
        <v>8</v>
      </c>
      <c r="N56" s="59">
        <v>405</v>
      </c>
      <c r="O56" s="59">
        <v>392</v>
      </c>
      <c r="P56" s="59">
        <v>4</v>
      </c>
      <c r="Q56" s="59">
        <v>396</v>
      </c>
      <c r="R56" s="59">
        <v>378</v>
      </c>
      <c r="S56" s="59">
        <v>9</v>
      </c>
      <c r="T56" s="59">
        <v>387</v>
      </c>
      <c r="U56" s="59">
        <v>366</v>
      </c>
      <c r="V56" s="59">
        <v>9</v>
      </c>
      <c r="W56" s="59">
        <v>375</v>
      </c>
      <c r="X56" s="59">
        <v>346</v>
      </c>
      <c r="Y56" s="59">
        <v>9</v>
      </c>
      <c r="Z56" s="59">
        <v>355</v>
      </c>
      <c r="AA56" s="59">
        <v>349</v>
      </c>
      <c r="AB56" s="59">
        <v>9</v>
      </c>
      <c r="AC56" s="59">
        <v>358</v>
      </c>
      <c r="AD56" s="59">
        <v>399</v>
      </c>
      <c r="AE56" s="59">
        <v>11</v>
      </c>
      <c r="AF56" s="59">
        <v>410</v>
      </c>
    </row>
    <row r="57" spans="2:32" x14ac:dyDescent="0.2">
      <c r="B57" s="69" t="s">
        <v>22</v>
      </c>
      <c r="C57" s="59">
        <v>432</v>
      </c>
      <c r="D57" s="59">
        <v>34</v>
      </c>
      <c r="E57" s="59">
        <v>466</v>
      </c>
      <c r="F57" s="59">
        <v>373</v>
      </c>
      <c r="G57" s="59">
        <v>26</v>
      </c>
      <c r="H57" s="59">
        <v>399</v>
      </c>
      <c r="I57" s="59">
        <v>293</v>
      </c>
      <c r="J57" s="59">
        <v>14</v>
      </c>
      <c r="K57" s="59">
        <v>307</v>
      </c>
      <c r="L57" s="59">
        <v>238</v>
      </c>
      <c r="M57" s="59">
        <v>15</v>
      </c>
      <c r="N57" s="59">
        <v>253</v>
      </c>
      <c r="O57" s="59">
        <v>158</v>
      </c>
      <c r="P57" s="59">
        <v>7</v>
      </c>
      <c r="Q57" s="59">
        <v>165</v>
      </c>
      <c r="R57" s="59">
        <v>118</v>
      </c>
      <c r="S57" s="59">
        <v>3</v>
      </c>
      <c r="T57" s="59">
        <v>121</v>
      </c>
      <c r="U57" s="59">
        <v>83</v>
      </c>
      <c r="V57" s="59">
        <v>3</v>
      </c>
      <c r="W57" s="59">
        <v>86</v>
      </c>
      <c r="X57" s="59">
        <v>59</v>
      </c>
      <c r="Y57" s="59">
        <v>2</v>
      </c>
      <c r="Z57" s="59">
        <v>61</v>
      </c>
      <c r="AA57" s="59">
        <v>38</v>
      </c>
      <c r="AB57" s="59">
        <v>0</v>
      </c>
      <c r="AC57" s="59">
        <v>38</v>
      </c>
      <c r="AD57" s="59">
        <v>23</v>
      </c>
      <c r="AE57" s="59">
        <v>0</v>
      </c>
      <c r="AF57" s="59">
        <v>23</v>
      </c>
    </row>
    <row r="58" spans="2:32" x14ac:dyDescent="0.2">
      <c r="B58" s="69" t="s">
        <v>23</v>
      </c>
      <c r="C58" s="59">
        <v>681</v>
      </c>
      <c r="D58" s="59">
        <v>444</v>
      </c>
      <c r="E58" s="59">
        <v>1125</v>
      </c>
      <c r="F58" s="59">
        <v>731</v>
      </c>
      <c r="G58" s="59">
        <v>350</v>
      </c>
      <c r="H58" s="59">
        <v>1081</v>
      </c>
      <c r="I58" s="59">
        <v>716</v>
      </c>
      <c r="J58" s="59">
        <v>228</v>
      </c>
      <c r="K58" s="59">
        <v>944</v>
      </c>
      <c r="L58" s="59">
        <v>725</v>
      </c>
      <c r="M58" s="59">
        <v>166</v>
      </c>
      <c r="N58" s="59">
        <v>891</v>
      </c>
      <c r="O58" s="59">
        <v>698</v>
      </c>
      <c r="P58" s="59">
        <v>178</v>
      </c>
      <c r="Q58" s="59">
        <v>876</v>
      </c>
      <c r="R58" s="59">
        <v>724</v>
      </c>
      <c r="S58" s="59">
        <v>180</v>
      </c>
      <c r="T58" s="59">
        <v>904</v>
      </c>
      <c r="U58" s="59">
        <v>746</v>
      </c>
      <c r="V58" s="59">
        <v>201</v>
      </c>
      <c r="W58" s="59">
        <v>947</v>
      </c>
      <c r="X58" s="59">
        <v>785</v>
      </c>
      <c r="Y58" s="59">
        <v>185</v>
      </c>
      <c r="Z58" s="59">
        <v>970</v>
      </c>
      <c r="AA58" s="59">
        <v>822</v>
      </c>
      <c r="AB58" s="59">
        <v>180</v>
      </c>
      <c r="AC58" s="59">
        <v>1002</v>
      </c>
      <c r="AD58" s="59">
        <v>846</v>
      </c>
      <c r="AE58" s="59">
        <v>177</v>
      </c>
      <c r="AF58" s="59">
        <v>1023</v>
      </c>
    </row>
    <row r="59" spans="2:32" x14ac:dyDescent="0.2">
      <c r="B59" s="69" t="s">
        <v>24</v>
      </c>
      <c r="C59" s="59">
        <v>1011</v>
      </c>
      <c r="D59" s="59">
        <v>172</v>
      </c>
      <c r="E59" s="59">
        <v>1183</v>
      </c>
      <c r="F59" s="59">
        <v>917</v>
      </c>
      <c r="G59" s="59">
        <v>134</v>
      </c>
      <c r="H59" s="59">
        <v>1051</v>
      </c>
      <c r="I59" s="59">
        <v>871</v>
      </c>
      <c r="J59" s="59">
        <v>141</v>
      </c>
      <c r="K59" s="59">
        <v>1012</v>
      </c>
      <c r="L59" s="59">
        <v>878</v>
      </c>
      <c r="M59" s="59">
        <v>120</v>
      </c>
      <c r="N59" s="59">
        <v>998</v>
      </c>
      <c r="O59" s="59">
        <v>875</v>
      </c>
      <c r="P59" s="59">
        <v>175</v>
      </c>
      <c r="Q59" s="59">
        <v>1050</v>
      </c>
      <c r="R59" s="59">
        <v>938</v>
      </c>
      <c r="S59" s="59">
        <v>93</v>
      </c>
      <c r="T59" s="59">
        <v>1031</v>
      </c>
      <c r="U59" s="59">
        <v>950</v>
      </c>
      <c r="V59" s="59">
        <v>127</v>
      </c>
      <c r="W59" s="59">
        <v>1077</v>
      </c>
      <c r="X59" s="59">
        <v>882</v>
      </c>
      <c r="Y59" s="59">
        <v>114</v>
      </c>
      <c r="Z59" s="59">
        <v>996</v>
      </c>
      <c r="AA59" s="59">
        <v>769</v>
      </c>
      <c r="AB59" s="59">
        <v>138</v>
      </c>
      <c r="AC59" s="59">
        <v>907</v>
      </c>
      <c r="AD59" s="59">
        <v>728</v>
      </c>
      <c r="AE59" s="59">
        <v>82</v>
      </c>
      <c r="AF59" s="59">
        <v>810</v>
      </c>
    </row>
    <row r="60" spans="2:32" x14ac:dyDescent="0.2">
      <c r="B60" s="69" t="s">
        <v>25</v>
      </c>
      <c r="C60" s="59">
        <v>819</v>
      </c>
      <c r="D60" s="59">
        <v>7</v>
      </c>
      <c r="E60" s="59">
        <v>826</v>
      </c>
      <c r="F60" s="59">
        <v>738</v>
      </c>
      <c r="G60" s="59">
        <v>13</v>
      </c>
      <c r="H60" s="59">
        <v>751</v>
      </c>
      <c r="I60" s="59">
        <v>607</v>
      </c>
      <c r="J60" s="59">
        <v>92</v>
      </c>
      <c r="K60" s="59">
        <v>699</v>
      </c>
      <c r="L60" s="59">
        <v>683</v>
      </c>
      <c r="M60" s="59">
        <v>69</v>
      </c>
      <c r="N60" s="59">
        <v>752</v>
      </c>
      <c r="O60" s="59">
        <v>824</v>
      </c>
      <c r="P60" s="59">
        <v>84</v>
      </c>
      <c r="Q60" s="59">
        <v>908</v>
      </c>
      <c r="R60" s="59">
        <v>949</v>
      </c>
      <c r="S60" s="59">
        <v>96</v>
      </c>
      <c r="T60" s="59">
        <v>1045</v>
      </c>
      <c r="U60" s="59">
        <v>1107</v>
      </c>
      <c r="V60" s="59">
        <v>110</v>
      </c>
      <c r="W60" s="59">
        <v>1217</v>
      </c>
      <c r="X60" s="59">
        <v>1166</v>
      </c>
      <c r="Y60" s="59">
        <v>91</v>
      </c>
      <c r="Z60" s="59">
        <v>1257</v>
      </c>
      <c r="AA60" s="59">
        <v>1176</v>
      </c>
      <c r="AB60" s="59">
        <v>110</v>
      </c>
      <c r="AC60" s="59">
        <v>1286</v>
      </c>
      <c r="AD60" s="59">
        <v>1227</v>
      </c>
      <c r="AE60" s="59">
        <v>111</v>
      </c>
      <c r="AF60" s="59">
        <v>1338</v>
      </c>
    </row>
    <row r="61" spans="2:32" x14ac:dyDescent="0.2">
      <c r="B61" s="71" t="s">
        <v>26</v>
      </c>
      <c r="C61" s="62">
        <v>1769</v>
      </c>
      <c r="D61" s="62">
        <v>489</v>
      </c>
      <c r="E61" s="62">
        <v>2258</v>
      </c>
      <c r="F61" s="62">
        <v>1816</v>
      </c>
      <c r="G61" s="62">
        <v>450</v>
      </c>
      <c r="H61" s="62">
        <v>2266</v>
      </c>
      <c r="I61" s="62">
        <v>1761</v>
      </c>
      <c r="J61" s="62">
        <v>353</v>
      </c>
      <c r="K61" s="62">
        <v>2114</v>
      </c>
      <c r="L61" s="62">
        <v>1825</v>
      </c>
      <c r="M61" s="62">
        <v>309</v>
      </c>
      <c r="N61" s="62">
        <v>2134</v>
      </c>
      <c r="O61" s="62">
        <v>1932</v>
      </c>
      <c r="P61" s="62">
        <v>310</v>
      </c>
      <c r="Q61" s="62">
        <v>2242</v>
      </c>
      <c r="R61" s="62">
        <v>2130</v>
      </c>
      <c r="S61" s="62">
        <v>255</v>
      </c>
      <c r="T61" s="62">
        <v>2385</v>
      </c>
      <c r="U61" s="62">
        <v>2377</v>
      </c>
      <c r="V61" s="62">
        <v>231</v>
      </c>
      <c r="W61" s="62">
        <v>2608</v>
      </c>
      <c r="X61" s="62">
        <v>2628</v>
      </c>
      <c r="Y61" s="62">
        <v>227</v>
      </c>
      <c r="Z61" s="62">
        <v>2855</v>
      </c>
      <c r="AA61" s="62">
        <v>2781</v>
      </c>
      <c r="AB61" s="62">
        <v>179</v>
      </c>
      <c r="AC61" s="62">
        <v>2960</v>
      </c>
      <c r="AD61" s="62">
        <v>2863</v>
      </c>
      <c r="AE61" s="62">
        <v>191</v>
      </c>
      <c r="AF61" s="62">
        <v>3054</v>
      </c>
    </row>
    <row r="62" spans="2:32" x14ac:dyDescent="0.2">
      <c r="B62" s="23" t="s">
        <v>27</v>
      </c>
      <c r="C62" s="21">
        <f>SUBTOTAL(109,'Degree-NonDegree Enrollment'!$C$48:$C$61)</f>
        <v>14357</v>
      </c>
      <c r="D62" s="21">
        <f>SUBTOTAL(109,'Degree-NonDegree Enrollment'!$D$48:$D$61)</f>
        <v>2182</v>
      </c>
      <c r="E62" s="21">
        <f>SUBTOTAL(109,'Degree-NonDegree Enrollment'!$E$48:$E$61)</f>
        <v>16539</v>
      </c>
      <c r="F62" s="21">
        <f>SUBTOTAL(109,'Degree-NonDegree Enrollment'!$F$48:$F$61)</f>
        <v>13895</v>
      </c>
      <c r="G62" s="21">
        <f>SUBTOTAL(109,'Degree-NonDegree Enrollment'!$G$48:$G$61)</f>
        <v>1429</v>
      </c>
      <c r="H62" s="21">
        <f>SUBTOTAL(109,'Degree-NonDegree Enrollment'!$H$48:$H$61)</f>
        <v>15324</v>
      </c>
      <c r="I62" s="21">
        <f>SUBTOTAL(109,'Degree-NonDegree Enrollment'!$I$48:$I$61)</f>
        <v>12957</v>
      </c>
      <c r="J62" s="21">
        <f>SUBTOTAL(109,'Degree-NonDegree Enrollment'!$J$48:$J$61)</f>
        <v>1164</v>
      </c>
      <c r="K62" s="21">
        <f>SUBTOTAL(109,'Degree-NonDegree Enrollment'!$K$48:$K$61)</f>
        <v>14121</v>
      </c>
      <c r="L62" s="21">
        <f>SUBTOTAL(109,'Degree-NonDegree Enrollment'!$L$48:$L$61)</f>
        <v>12603</v>
      </c>
      <c r="M62" s="21">
        <f>SUBTOTAL(109,'Degree-NonDegree Enrollment'!$M$48:$M$61)</f>
        <v>1029</v>
      </c>
      <c r="N62" s="21">
        <f>SUBTOTAL(109,'Degree-NonDegree Enrollment'!$N$48:$N$61)</f>
        <v>13632</v>
      </c>
      <c r="O62" s="21">
        <f>SUBTOTAL(109,'Degree-NonDegree Enrollment'!$O$48:$O$61)</f>
        <v>12666</v>
      </c>
      <c r="P62" s="21">
        <f>SUBTOTAL(109,'Degree-NonDegree Enrollment'!$P$48:$P$61)</f>
        <v>1136</v>
      </c>
      <c r="Q62" s="21">
        <f>SUBTOTAL(109,'Degree-NonDegree Enrollment'!$Q$48:$Q$61)</f>
        <v>13802</v>
      </c>
      <c r="R62" s="21">
        <f>SUBTOTAL(109,'Degree-NonDegree Enrollment'!$R$48:$R$61)</f>
        <v>13358</v>
      </c>
      <c r="S62" s="21">
        <f>SUBTOTAL(109,'Degree-NonDegree Enrollment'!$S$48:$S$61)</f>
        <v>950</v>
      </c>
      <c r="T62" s="21">
        <f>SUBTOTAL(109,'Degree-NonDegree Enrollment'!$T$48:$T$61)</f>
        <v>14308</v>
      </c>
      <c r="U62" s="21">
        <f>SUBTOTAL(109,'Degree-NonDegree Enrollment'!$U$48:$U$61)</f>
        <v>13974</v>
      </c>
      <c r="V62" s="21">
        <f>SUBTOTAL(109,'Degree-NonDegree Enrollment'!$V$48:$V$61)</f>
        <v>1003</v>
      </c>
      <c r="W62" s="21">
        <f>SUBTOTAL(109,'Degree-NonDegree Enrollment'!$W$48:$W$61)</f>
        <v>14977</v>
      </c>
      <c r="X62" s="21">
        <f>SUBTOTAL(109,'Degree-NonDegree Enrollment'!$X$48:$X$61)</f>
        <v>14367</v>
      </c>
      <c r="Y62" s="21">
        <f>SUBTOTAL(109,'Degree-NonDegree Enrollment'!$Y$48:$Y$61)</f>
        <v>963</v>
      </c>
      <c r="Z62" s="21">
        <f>SUBTOTAL(109,'Degree-NonDegree Enrollment'!$Z$48:$Z$61)</f>
        <v>15330</v>
      </c>
      <c r="AA62" s="21">
        <f>SUBTOTAL(109,'Degree-NonDegree Enrollment'!$AA$48:$AA$61)</f>
        <v>14429</v>
      </c>
      <c r="AB62" s="21">
        <f>SUBTOTAL(109,'Degree-NonDegree Enrollment'!$AB$48:$AB$61)</f>
        <v>860</v>
      </c>
      <c r="AC62" s="21">
        <f>SUBTOTAL(109,'Degree-NonDegree Enrollment'!$AC$48:$AC$61)</f>
        <v>15289</v>
      </c>
      <c r="AD62" s="21">
        <f>SUBTOTAL(109,'Degree-NonDegree Enrollment'!$AD$48:$AD$61)</f>
        <v>14608</v>
      </c>
      <c r="AE62" s="21">
        <f>SUBTOTAL(109,'Degree-NonDegree Enrollment'!$AE$48:$AE$61)</f>
        <v>768</v>
      </c>
      <c r="AF62" s="21">
        <f>SUBTOTAL(109,'Degree-NonDegree Enrollment'!$AF$48:$AF$61)</f>
        <v>15376</v>
      </c>
    </row>
    <row r="64" spans="2:32" x14ac:dyDescent="0.2">
      <c r="B64" s="6" t="s">
        <v>29</v>
      </c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</row>
    <row r="65" spans="2:2" x14ac:dyDescent="0.2">
      <c r="B65" s="9" t="s">
        <v>30</v>
      </c>
    </row>
    <row r="66" spans="2:2" x14ac:dyDescent="0.2">
      <c r="B66" s="9" t="s">
        <v>31</v>
      </c>
    </row>
  </sheetData>
  <mergeCells count="37">
    <mergeCell ref="U45:W45"/>
    <mergeCell ref="X45:Z45"/>
    <mergeCell ref="AA45:AC45"/>
    <mergeCell ref="AD45:AF45"/>
    <mergeCell ref="X24:Z24"/>
    <mergeCell ref="AA24:AC24"/>
    <mergeCell ref="AD24:AF24"/>
    <mergeCell ref="B44:AF44"/>
    <mergeCell ref="C45:E45"/>
    <mergeCell ref="F45:H45"/>
    <mergeCell ref="I45:K45"/>
    <mergeCell ref="L45:N45"/>
    <mergeCell ref="O45:Q45"/>
    <mergeCell ref="R45:T45"/>
    <mergeCell ref="B45:B46"/>
    <mergeCell ref="B23:AF23"/>
    <mergeCell ref="C24:E24"/>
    <mergeCell ref="F24:H24"/>
    <mergeCell ref="I24:K24"/>
    <mergeCell ref="L24:N24"/>
    <mergeCell ref="O24:Q24"/>
    <mergeCell ref="R24:T24"/>
    <mergeCell ref="U24:W24"/>
    <mergeCell ref="B24:B25"/>
    <mergeCell ref="B1:AF1"/>
    <mergeCell ref="B2:AF2"/>
    <mergeCell ref="C3:E3"/>
    <mergeCell ref="F3:H3"/>
    <mergeCell ref="I3:K3"/>
    <mergeCell ref="L3:N3"/>
    <mergeCell ref="O3:Q3"/>
    <mergeCell ref="R3:T3"/>
    <mergeCell ref="U3:W3"/>
    <mergeCell ref="X3:Z3"/>
    <mergeCell ref="AA3:AC3"/>
    <mergeCell ref="AD3:AF3"/>
    <mergeCell ref="B3:B4"/>
  </mergeCells>
  <printOptions horizontalCentered="1"/>
  <pageMargins left="0.5" right="0.5" top="1" bottom="0.5" header="0.3" footer="0.3"/>
  <pageSetup paperSize="17" scale="59" fitToHeight="0" orientation="landscape" r:id="rId1"/>
  <headerFooter>
    <oddHeader>&amp;L&amp;"Arial,Regular"&amp;10Pennsylvania's State System of Higher Education | &amp;D
Office of Educational Intelligence | Page &amp;P of &amp;N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B1:AF66"/>
  <sheetViews>
    <sheetView zoomScaleNormal="100" workbookViewId="0">
      <selection activeCell="B66" sqref="B66"/>
    </sheetView>
  </sheetViews>
  <sheetFormatPr defaultRowHeight="14.25" x14ac:dyDescent="0.2"/>
  <cols>
    <col min="1" max="1" width="9.140625" style="5"/>
    <col min="2" max="2" width="23.5703125" style="5" customWidth="1"/>
    <col min="3" max="32" width="10.7109375" style="5" customWidth="1"/>
    <col min="33" max="16384" width="9.140625" style="5"/>
  </cols>
  <sheetData>
    <row r="1" spans="2:32" ht="15" x14ac:dyDescent="0.2">
      <c r="B1" s="131" t="s">
        <v>0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</row>
    <row r="2" spans="2:32" ht="15" x14ac:dyDescent="0.2">
      <c r="B2" s="127" t="s">
        <v>152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</row>
    <row r="3" spans="2:32" x14ac:dyDescent="0.2">
      <c r="B3" s="134" t="s">
        <v>1</v>
      </c>
      <c r="C3" s="133" t="str">
        <f>CONCATENATE(IF(RIGHT(Parameters!B1,1) = "1","Fall ", "Spring "),IF(RIGHT(Parameters!B1,1) = "1",LEFT(Parameters!B1,4) -9, LEFT(Parameters!B1,4) - 8))</f>
        <v>Fall 2010</v>
      </c>
      <c r="D3" s="133"/>
      <c r="E3" s="133"/>
      <c r="F3" s="133" t="str">
        <f>CONCATENATE(IF(RIGHT(Parameters!B1,1) = "1","Fall ", "Spring "),IF(RIGHT(Parameters!B1,1) = "1",LEFT(Parameters!B1,4) -8, LEFT(Parameters!B1,4) - 7))</f>
        <v>Fall 2011</v>
      </c>
      <c r="G3" s="133"/>
      <c r="H3" s="133"/>
      <c r="I3" s="133" t="str">
        <f>CONCATENATE(IF(RIGHT(Parameters!B1,1) = "1","Fall ", "Spring "),IF(RIGHT(Parameters!B1,1) = "1",LEFT(Parameters!B1,4) -7, LEFT(Parameters!B1,4) - 6))</f>
        <v>Fall 2012</v>
      </c>
      <c r="J3" s="133"/>
      <c r="K3" s="133"/>
      <c r="L3" s="133" t="str">
        <f>CONCATENATE(IF(RIGHT(Parameters!B1,1) = "1","Fall ", "Spring "),IF(RIGHT(Parameters!B1,1) = "1",LEFT(Parameters!B1,4) -6, LEFT(Parameters!B1,4) - 5))</f>
        <v>Fall 2013</v>
      </c>
      <c r="M3" s="133"/>
      <c r="N3" s="133"/>
      <c r="O3" s="133" t="str">
        <f>CONCATENATE(IF(RIGHT(Parameters!B1,1) = "1","Fall ", "Spring "),IF(RIGHT(Parameters!B1,1) = "1",LEFT(Parameters!B1,4) -5, LEFT(Parameters!B1,4) - 4))</f>
        <v>Fall 2014</v>
      </c>
      <c r="P3" s="133"/>
      <c r="Q3" s="133"/>
      <c r="R3" s="133" t="str">
        <f>CONCATENATE(IF(RIGHT(Parameters!B1,1) = "1","Fall ", "Spring "),IF(RIGHT(Parameters!B1,1) = "1",LEFT(Parameters!B1,4) -4, LEFT(Parameters!B1,4) - 3))</f>
        <v>Fall 2015</v>
      </c>
      <c r="S3" s="133"/>
      <c r="T3" s="133"/>
      <c r="U3" s="133" t="str">
        <f>CONCATENATE(IF(RIGHT(Parameters!B1,1) = "1","Fall ", "Spring "),IF(RIGHT(Parameters!B1,1) = "1",LEFT(Parameters!B1,4) -3, LEFT(Parameters!B1,4) -2 ))</f>
        <v>Fall 2016</v>
      </c>
      <c r="V3" s="133"/>
      <c r="W3" s="133"/>
      <c r="X3" s="133" t="str">
        <f>CONCATENATE(IF(RIGHT(Parameters!B1,1) = "1","Fall ", "Spring "),IF(RIGHT(Parameters!B1,1) = "1",LEFT(Parameters!B1,4) -2, LEFT(Parameters!B1,4) -1 ))</f>
        <v>Fall 2017</v>
      </c>
      <c r="Y3" s="133"/>
      <c r="Z3" s="133"/>
      <c r="AA3" s="133" t="str">
        <f>CONCATENATE(IF(RIGHT(Parameters!B1,1) = "1","Fall ", "Spring "),IF(RIGHT(Parameters!B1,1) = "1",LEFT(Parameters!B1,4) -1, LEFT(Parameters!B1,4)  ))</f>
        <v>Fall 2018</v>
      </c>
      <c r="AB3" s="133"/>
      <c r="AC3" s="133"/>
      <c r="AD3" s="133" t="str">
        <f>CONCATENATE(IF(RIGHT(Parameters!B1,1) = "1","Fall ", "Spring "),IF(RIGHT(Parameters!B1,1) = "1",LEFT(Parameters!B1,4), LEFT(Parameters!B1,4) + 1))</f>
        <v>Fall 2019</v>
      </c>
      <c r="AE3" s="133"/>
      <c r="AF3" s="133"/>
    </row>
    <row r="4" spans="2:32" ht="28.5" x14ac:dyDescent="0.2">
      <c r="B4" s="135"/>
      <c r="C4" s="54" t="s">
        <v>153</v>
      </c>
      <c r="D4" s="54" t="s">
        <v>154</v>
      </c>
      <c r="E4" s="54" t="s">
        <v>155</v>
      </c>
      <c r="F4" s="54" t="s">
        <v>153</v>
      </c>
      <c r="G4" s="54" t="s">
        <v>154</v>
      </c>
      <c r="H4" s="54" t="s">
        <v>155</v>
      </c>
      <c r="I4" s="54" t="s">
        <v>153</v>
      </c>
      <c r="J4" s="54" t="s">
        <v>154</v>
      </c>
      <c r="K4" s="54" t="s">
        <v>155</v>
      </c>
      <c r="L4" s="54" t="s">
        <v>153</v>
      </c>
      <c r="M4" s="54" t="s">
        <v>154</v>
      </c>
      <c r="N4" s="54" t="s">
        <v>155</v>
      </c>
      <c r="O4" s="54" t="s">
        <v>153</v>
      </c>
      <c r="P4" s="54" t="s">
        <v>154</v>
      </c>
      <c r="Q4" s="54" t="s">
        <v>155</v>
      </c>
      <c r="R4" s="54" t="s">
        <v>153</v>
      </c>
      <c r="S4" s="54" t="s">
        <v>154</v>
      </c>
      <c r="T4" s="54" t="s">
        <v>155</v>
      </c>
      <c r="U4" s="54" t="s">
        <v>153</v>
      </c>
      <c r="V4" s="54" t="s">
        <v>154</v>
      </c>
      <c r="W4" s="54" t="s">
        <v>155</v>
      </c>
      <c r="X4" s="54" t="s">
        <v>153</v>
      </c>
      <c r="Y4" s="54" t="s">
        <v>154</v>
      </c>
      <c r="Z4" s="54" t="s">
        <v>155</v>
      </c>
      <c r="AA4" s="54" t="s">
        <v>153</v>
      </c>
      <c r="AB4" s="54" t="s">
        <v>154</v>
      </c>
      <c r="AC4" s="54" t="s">
        <v>155</v>
      </c>
      <c r="AD4" s="54" t="s">
        <v>153</v>
      </c>
      <c r="AE4" s="54" t="s">
        <v>154</v>
      </c>
      <c r="AF4" s="54" t="s">
        <v>155</v>
      </c>
    </row>
    <row r="5" spans="2:32" ht="17.25" hidden="1" customHeight="1" thickBot="1" x14ac:dyDescent="0.25">
      <c r="B5" s="26" t="s">
        <v>2</v>
      </c>
      <c r="C5" s="26" t="s">
        <v>84</v>
      </c>
      <c r="D5" s="26" t="s">
        <v>85</v>
      </c>
      <c r="E5" s="26" t="s">
        <v>86</v>
      </c>
      <c r="F5" s="26" t="s">
        <v>87</v>
      </c>
      <c r="G5" s="26" t="s">
        <v>88</v>
      </c>
      <c r="H5" s="26" t="s">
        <v>89</v>
      </c>
      <c r="I5" s="26" t="s">
        <v>90</v>
      </c>
      <c r="J5" s="26" t="s">
        <v>91</v>
      </c>
      <c r="K5" s="26" t="s">
        <v>92</v>
      </c>
      <c r="L5" s="26" t="s">
        <v>93</v>
      </c>
      <c r="M5" s="26" t="s">
        <v>94</v>
      </c>
      <c r="N5" s="26" t="s">
        <v>95</v>
      </c>
      <c r="O5" s="26" t="s">
        <v>96</v>
      </c>
      <c r="P5" s="26" t="s">
        <v>97</v>
      </c>
      <c r="Q5" s="26" t="s">
        <v>98</v>
      </c>
      <c r="R5" s="26" t="s">
        <v>99</v>
      </c>
      <c r="S5" s="26" t="s">
        <v>100</v>
      </c>
      <c r="T5" s="26" t="s">
        <v>101</v>
      </c>
      <c r="U5" s="26" t="s">
        <v>102</v>
      </c>
      <c r="V5" s="26" t="s">
        <v>103</v>
      </c>
      <c r="W5" s="26" t="s">
        <v>104</v>
      </c>
      <c r="X5" s="26" t="s">
        <v>105</v>
      </c>
      <c r="Y5" s="26" t="s">
        <v>106</v>
      </c>
      <c r="Z5" s="26" t="s">
        <v>107</v>
      </c>
      <c r="AA5" s="26" t="s">
        <v>108</v>
      </c>
      <c r="AB5" s="26" t="s">
        <v>109</v>
      </c>
      <c r="AC5" s="26" t="s">
        <v>110</v>
      </c>
      <c r="AD5" s="26" t="s">
        <v>111</v>
      </c>
      <c r="AE5" s="26" t="s">
        <v>112</v>
      </c>
      <c r="AF5" s="26" t="s">
        <v>113</v>
      </c>
    </row>
    <row r="6" spans="2:32" x14ac:dyDescent="0.2">
      <c r="B6" s="67" t="s">
        <v>13</v>
      </c>
      <c r="C6" s="57">
        <v>4172</v>
      </c>
      <c r="D6" s="57">
        <v>5919</v>
      </c>
      <c r="E6" s="68">
        <v>0.58656200000000003</v>
      </c>
      <c r="F6" s="57">
        <v>4276</v>
      </c>
      <c r="G6" s="57">
        <v>5883</v>
      </c>
      <c r="H6" s="68">
        <v>0.57909200000000005</v>
      </c>
      <c r="I6" s="57">
        <v>4232</v>
      </c>
      <c r="J6" s="57">
        <v>5718</v>
      </c>
      <c r="K6" s="68">
        <v>0.57467299999999999</v>
      </c>
      <c r="L6" s="57">
        <v>4294</v>
      </c>
      <c r="M6" s="57">
        <v>5833</v>
      </c>
      <c r="N6" s="68">
        <v>0.57598400000000005</v>
      </c>
      <c r="O6" s="57">
        <v>4248</v>
      </c>
      <c r="P6" s="57">
        <v>5750</v>
      </c>
      <c r="Q6" s="68">
        <v>0.57511500000000004</v>
      </c>
      <c r="R6" s="57">
        <v>4132</v>
      </c>
      <c r="S6" s="57">
        <v>5645</v>
      </c>
      <c r="T6" s="68">
        <v>0.57737499999999997</v>
      </c>
      <c r="U6" s="57">
        <v>4110</v>
      </c>
      <c r="V6" s="57">
        <v>5548</v>
      </c>
      <c r="W6" s="68">
        <v>0.57444600000000001</v>
      </c>
      <c r="X6" s="57">
        <v>3927</v>
      </c>
      <c r="Y6" s="57">
        <v>5360</v>
      </c>
      <c r="Z6" s="68">
        <v>0.57715000000000005</v>
      </c>
      <c r="AA6" s="57">
        <v>3695</v>
      </c>
      <c r="AB6" s="57">
        <v>5229</v>
      </c>
      <c r="AC6" s="68">
        <v>0.58594800000000002</v>
      </c>
      <c r="AD6" s="57">
        <v>3552</v>
      </c>
      <c r="AE6" s="57">
        <v>5137</v>
      </c>
      <c r="AF6" s="68">
        <v>0.59120700000000004</v>
      </c>
    </row>
    <row r="7" spans="2:32" x14ac:dyDescent="0.2">
      <c r="B7" s="69" t="s">
        <v>14</v>
      </c>
      <c r="C7" s="59">
        <v>4313</v>
      </c>
      <c r="D7" s="59">
        <v>5087</v>
      </c>
      <c r="E7" s="70">
        <v>0.54117000000000004</v>
      </c>
      <c r="F7" s="59">
        <v>4405</v>
      </c>
      <c r="G7" s="59">
        <v>5078</v>
      </c>
      <c r="H7" s="70">
        <v>0.53548399999999996</v>
      </c>
      <c r="I7" s="59">
        <v>3949</v>
      </c>
      <c r="J7" s="59">
        <v>4659</v>
      </c>
      <c r="K7" s="70">
        <v>0.54124000000000005</v>
      </c>
      <c r="L7" s="59">
        <v>3806</v>
      </c>
      <c r="M7" s="59">
        <v>4437</v>
      </c>
      <c r="N7" s="70">
        <v>0.53827400000000003</v>
      </c>
      <c r="O7" s="59">
        <v>3588</v>
      </c>
      <c r="P7" s="59">
        <v>4390</v>
      </c>
      <c r="Q7" s="70">
        <v>0.55026299999999995</v>
      </c>
      <c r="R7" s="59">
        <v>3474</v>
      </c>
      <c r="S7" s="59">
        <v>4380</v>
      </c>
      <c r="T7" s="70">
        <v>0.55767699999999998</v>
      </c>
      <c r="U7" s="59">
        <v>3297</v>
      </c>
      <c r="V7" s="59">
        <v>4256</v>
      </c>
      <c r="W7" s="70">
        <v>0.56348399999999998</v>
      </c>
      <c r="X7" s="59">
        <v>3395</v>
      </c>
      <c r="Y7" s="59">
        <v>4393</v>
      </c>
      <c r="Z7" s="70">
        <v>0.56407200000000002</v>
      </c>
      <c r="AA7" s="59">
        <v>3124</v>
      </c>
      <c r="AB7" s="59">
        <v>4188</v>
      </c>
      <c r="AC7" s="70">
        <v>0.57275699999999996</v>
      </c>
      <c r="AD7" s="59">
        <v>2860</v>
      </c>
      <c r="AE7" s="59">
        <v>3982</v>
      </c>
      <c r="AF7" s="70">
        <v>0.58199299999999998</v>
      </c>
    </row>
    <row r="8" spans="2:32" x14ac:dyDescent="0.2">
      <c r="B8" s="69" t="s">
        <v>15</v>
      </c>
      <c r="C8" s="59">
        <v>731</v>
      </c>
      <c r="D8" s="59">
        <v>855</v>
      </c>
      <c r="E8" s="70">
        <v>0.53909200000000002</v>
      </c>
      <c r="F8" s="59">
        <v>568</v>
      </c>
      <c r="G8" s="59">
        <v>632</v>
      </c>
      <c r="H8" s="70">
        <v>0.52666599999999997</v>
      </c>
      <c r="I8" s="59">
        <v>617</v>
      </c>
      <c r="J8" s="59">
        <v>667</v>
      </c>
      <c r="K8" s="70">
        <v>0.51946999999999999</v>
      </c>
      <c r="L8" s="59">
        <v>584</v>
      </c>
      <c r="M8" s="59">
        <v>628</v>
      </c>
      <c r="N8" s="70">
        <v>0.51815100000000003</v>
      </c>
      <c r="O8" s="59">
        <v>509</v>
      </c>
      <c r="P8" s="59">
        <v>513</v>
      </c>
      <c r="Q8" s="70">
        <v>0.50195599999999996</v>
      </c>
      <c r="R8" s="59">
        <v>351</v>
      </c>
      <c r="S8" s="59">
        <v>360</v>
      </c>
      <c r="T8" s="70">
        <v>0.50632900000000003</v>
      </c>
      <c r="U8" s="59">
        <v>377</v>
      </c>
      <c r="V8" s="59">
        <v>369</v>
      </c>
      <c r="W8" s="70">
        <v>0.49463800000000002</v>
      </c>
      <c r="X8" s="59">
        <v>387</v>
      </c>
      <c r="Y8" s="59">
        <v>368</v>
      </c>
      <c r="Z8" s="70">
        <v>0.48741699999999999</v>
      </c>
      <c r="AA8" s="59">
        <v>192</v>
      </c>
      <c r="AB8" s="59">
        <v>277</v>
      </c>
      <c r="AC8" s="70">
        <v>0.59061799999999998</v>
      </c>
      <c r="AD8" s="59">
        <v>230</v>
      </c>
      <c r="AE8" s="59">
        <v>388</v>
      </c>
      <c r="AF8" s="70">
        <v>0.62783100000000003</v>
      </c>
    </row>
    <row r="9" spans="2:32" x14ac:dyDescent="0.2">
      <c r="B9" s="69" t="s">
        <v>16</v>
      </c>
      <c r="C9" s="59">
        <v>2626</v>
      </c>
      <c r="D9" s="59">
        <v>4689</v>
      </c>
      <c r="E9" s="70">
        <v>0.641011</v>
      </c>
      <c r="F9" s="59">
        <v>2453</v>
      </c>
      <c r="G9" s="59">
        <v>4538</v>
      </c>
      <c r="H9" s="70">
        <v>0.64912000000000003</v>
      </c>
      <c r="I9" s="59">
        <v>2285</v>
      </c>
      <c r="J9" s="59">
        <v>4235</v>
      </c>
      <c r="K9" s="70">
        <v>0.64953899999999998</v>
      </c>
      <c r="L9" s="59">
        <v>2128</v>
      </c>
      <c r="M9" s="59">
        <v>3952</v>
      </c>
      <c r="N9" s="70">
        <v>0.64999899999999999</v>
      </c>
      <c r="O9" s="59">
        <v>1991</v>
      </c>
      <c r="P9" s="59">
        <v>3721</v>
      </c>
      <c r="Q9" s="70">
        <v>0.65143499999999999</v>
      </c>
      <c r="R9" s="59">
        <v>1863</v>
      </c>
      <c r="S9" s="59">
        <v>3505</v>
      </c>
      <c r="T9" s="70">
        <v>0.65294300000000005</v>
      </c>
      <c r="U9" s="59">
        <v>1759</v>
      </c>
      <c r="V9" s="59">
        <v>3465</v>
      </c>
      <c r="W9" s="70">
        <v>0.66328399999999998</v>
      </c>
      <c r="X9" s="59">
        <v>1747</v>
      </c>
      <c r="Y9" s="59">
        <v>3478</v>
      </c>
      <c r="Z9" s="70">
        <v>0.66564500000000004</v>
      </c>
      <c r="AA9" s="59">
        <v>1475</v>
      </c>
      <c r="AB9" s="59">
        <v>3394</v>
      </c>
      <c r="AC9" s="70">
        <v>0.69706299999999999</v>
      </c>
      <c r="AD9" s="59">
        <v>1385</v>
      </c>
      <c r="AE9" s="59">
        <v>3318</v>
      </c>
      <c r="AF9" s="70">
        <v>0.705507</v>
      </c>
    </row>
    <row r="10" spans="2:32" x14ac:dyDescent="0.2">
      <c r="B10" s="69" t="s">
        <v>17</v>
      </c>
      <c r="C10" s="59">
        <v>3184</v>
      </c>
      <c r="D10" s="59">
        <v>4203</v>
      </c>
      <c r="E10" s="70">
        <v>0.56897200000000003</v>
      </c>
      <c r="F10" s="59">
        <v>3263</v>
      </c>
      <c r="G10" s="59">
        <v>4090</v>
      </c>
      <c r="H10" s="70">
        <v>0.55623500000000003</v>
      </c>
      <c r="I10" s="59">
        <v>3111</v>
      </c>
      <c r="J10" s="59">
        <v>3832</v>
      </c>
      <c r="K10" s="70">
        <v>0.55192200000000002</v>
      </c>
      <c r="L10" s="59">
        <v>2986</v>
      </c>
      <c r="M10" s="59">
        <v>3792</v>
      </c>
      <c r="N10" s="70">
        <v>0.55945699999999998</v>
      </c>
      <c r="O10" s="59">
        <v>3040</v>
      </c>
      <c r="P10" s="59">
        <v>3780</v>
      </c>
      <c r="Q10" s="70">
        <v>0.55425199999999997</v>
      </c>
      <c r="R10" s="59">
        <v>2967</v>
      </c>
      <c r="S10" s="59">
        <v>3861</v>
      </c>
      <c r="T10" s="70">
        <v>0.565465</v>
      </c>
      <c r="U10" s="59">
        <v>2896</v>
      </c>
      <c r="V10" s="59">
        <v>3934</v>
      </c>
      <c r="W10" s="70">
        <v>0.57598800000000006</v>
      </c>
      <c r="X10" s="59">
        <v>2866</v>
      </c>
      <c r="Y10" s="59">
        <v>3876</v>
      </c>
      <c r="Z10" s="70">
        <v>0.57490300000000005</v>
      </c>
      <c r="AA10" s="59">
        <v>2720</v>
      </c>
      <c r="AB10" s="59">
        <v>3705</v>
      </c>
      <c r="AC10" s="70">
        <v>0.57665299999999997</v>
      </c>
      <c r="AD10" s="59">
        <v>2609</v>
      </c>
      <c r="AE10" s="59">
        <v>3605</v>
      </c>
      <c r="AF10" s="70">
        <v>0.58014100000000002</v>
      </c>
    </row>
    <row r="11" spans="2:32" x14ac:dyDescent="0.2">
      <c r="B11" s="69" t="s">
        <v>18</v>
      </c>
      <c r="C11" s="59">
        <v>3272</v>
      </c>
      <c r="D11" s="59">
        <v>5370</v>
      </c>
      <c r="E11" s="70">
        <v>0.62138300000000002</v>
      </c>
      <c r="F11" s="59">
        <v>3153</v>
      </c>
      <c r="G11" s="59">
        <v>5109</v>
      </c>
      <c r="H11" s="70">
        <v>0.61837299999999995</v>
      </c>
      <c r="I11" s="59">
        <v>2860</v>
      </c>
      <c r="J11" s="59">
        <v>4602</v>
      </c>
      <c r="K11" s="70">
        <v>0.61672400000000005</v>
      </c>
      <c r="L11" s="59">
        <v>2738</v>
      </c>
      <c r="M11" s="59">
        <v>4360</v>
      </c>
      <c r="N11" s="70">
        <v>0.61425700000000005</v>
      </c>
      <c r="O11" s="59">
        <v>2612</v>
      </c>
      <c r="P11" s="59">
        <v>4225</v>
      </c>
      <c r="Q11" s="70">
        <v>0.61796099999999998</v>
      </c>
      <c r="R11" s="59">
        <v>2509</v>
      </c>
      <c r="S11" s="59">
        <v>4041</v>
      </c>
      <c r="T11" s="70">
        <v>0.61694599999999999</v>
      </c>
      <c r="U11" s="59">
        <v>2361</v>
      </c>
      <c r="V11" s="59">
        <v>3820</v>
      </c>
      <c r="W11" s="70">
        <v>0.61802199999999996</v>
      </c>
      <c r="X11" s="59">
        <v>2101</v>
      </c>
      <c r="Y11" s="59">
        <v>3474</v>
      </c>
      <c r="Z11" s="70">
        <v>0.623139</v>
      </c>
      <c r="AA11" s="59">
        <v>1735</v>
      </c>
      <c r="AB11" s="59">
        <v>3099</v>
      </c>
      <c r="AC11" s="70">
        <v>0.64108299999999996</v>
      </c>
      <c r="AD11" s="59">
        <v>1638</v>
      </c>
      <c r="AE11" s="59">
        <v>3008</v>
      </c>
      <c r="AF11" s="70">
        <v>0.64743799999999996</v>
      </c>
    </row>
    <row r="12" spans="2:32" x14ac:dyDescent="0.2">
      <c r="B12" s="69" t="s">
        <v>19</v>
      </c>
      <c r="C12" s="59">
        <v>6511</v>
      </c>
      <c r="D12" s="59">
        <v>8615</v>
      </c>
      <c r="E12" s="70">
        <v>0.56954899999999997</v>
      </c>
      <c r="F12" s="59">
        <v>6474</v>
      </c>
      <c r="G12" s="59">
        <v>8658</v>
      </c>
      <c r="H12" s="70">
        <v>0.57216400000000001</v>
      </c>
      <c r="I12" s="59">
        <v>6905</v>
      </c>
      <c r="J12" s="59">
        <v>8691</v>
      </c>
      <c r="K12" s="70">
        <v>0.55725800000000003</v>
      </c>
      <c r="L12" s="59">
        <v>6646</v>
      </c>
      <c r="M12" s="59">
        <v>8279</v>
      </c>
      <c r="N12" s="70">
        <v>0.55470600000000003</v>
      </c>
      <c r="O12" s="59">
        <v>6589</v>
      </c>
      <c r="P12" s="59">
        <v>7982</v>
      </c>
      <c r="Q12" s="70">
        <v>0.54779999999999995</v>
      </c>
      <c r="R12" s="59">
        <v>6244</v>
      </c>
      <c r="S12" s="59">
        <v>7791</v>
      </c>
      <c r="T12" s="70">
        <v>0.55511200000000005</v>
      </c>
      <c r="U12" s="59">
        <v>5689</v>
      </c>
      <c r="V12" s="59">
        <v>7425</v>
      </c>
      <c r="W12" s="70">
        <v>0.56618800000000002</v>
      </c>
      <c r="X12" s="59">
        <v>5324</v>
      </c>
      <c r="Y12" s="59">
        <v>7238</v>
      </c>
      <c r="Z12" s="70">
        <v>0.57618199999999997</v>
      </c>
      <c r="AA12" s="59">
        <v>4828</v>
      </c>
      <c r="AB12" s="59">
        <v>6753</v>
      </c>
      <c r="AC12" s="70">
        <v>0.58311000000000002</v>
      </c>
      <c r="AD12" s="59">
        <v>4371</v>
      </c>
      <c r="AE12" s="59">
        <v>6265</v>
      </c>
      <c r="AF12" s="70">
        <v>0.58903700000000003</v>
      </c>
    </row>
    <row r="13" spans="2:32" x14ac:dyDescent="0.2">
      <c r="B13" s="69" t="s">
        <v>20</v>
      </c>
      <c r="C13" s="59">
        <v>4390</v>
      </c>
      <c r="D13" s="59">
        <v>6317</v>
      </c>
      <c r="E13" s="70">
        <v>0.58998700000000004</v>
      </c>
      <c r="F13" s="59">
        <v>4288</v>
      </c>
      <c r="G13" s="59">
        <v>5995</v>
      </c>
      <c r="H13" s="70">
        <v>0.58300099999999999</v>
      </c>
      <c r="I13" s="59">
        <v>4111</v>
      </c>
      <c r="J13" s="59">
        <v>5693</v>
      </c>
      <c r="K13" s="70">
        <v>0.580681</v>
      </c>
      <c r="L13" s="59">
        <v>4009</v>
      </c>
      <c r="M13" s="59">
        <v>5504</v>
      </c>
      <c r="N13" s="70">
        <v>0.57857599999999998</v>
      </c>
      <c r="O13" s="59">
        <v>3926</v>
      </c>
      <c r="P13" s="59">
        <v>5292</v>
      </c>
      <c r="Q13" s="70">
        <v>0.57409399999999999</v>
      </c>
      <c r="R13" s="59">
        <v>3938</v>
      </c>
      <c r="S13" s="59">
        <v>5062</v>
      </c>
      <c r="T13" s="70">
        <v>0.56244400000000006</v>
      </c>
      <c r="U13" s="59">
        <v>3755</v>
      </c>
      <c r="V13" s="59">
        <v>4758</v>
      </c>
      <c r="W13" s="70">
        <v>0.55890899999999999</v>
      </c>
      <c r="X13" s="59">
        <v>3709</v>
      </c>
      <c r="Y13" s="59">
        <v>4620</v>
      </c>
      <c r="Z13" s="70">
        <v>0.55468799999999996</v>
      </c>
      <c r="AA13" s="59">
        <v>3674</v>
      </c>
      <c r="AB13" s="59">
        <v>4635</v>
      </c>
      <c r="AC13" s="70">
        <v>0.55782799999999999</v>
      </c>
      <c r="AD13" s="59">
        <v>3421</v>
      </c>
      <c r="AE13" s="59">
        <v>4778</v>
      </c>
      <c r="AF13" s="70">
        <v>0.58275299999999997</v>
      </c>
    </row>
    <row r="14" spans="2:32" x14ac:dyDescent="0.2">
      <c r="B14" s="69" t="s">
        <v>21</v>
      </c>
      <c r="C14" s="59">
        <v>2350</v>
      </c>
      <c r="D14" s="59">
        <v>3101</v>
      </c>
      <c r="E14" s="70">
        <v>0.568886</v>
      </c>
      <c r="F14" s="59">
        <v>2275</v>
      </c>
      <c r="G14" s="59">
        <v>3091</v>
      </c>
      <c r="H14" s="70">
        <v>0.57603400000000005</v>
      </c>
      <c r="I14" s="59">
        <v>2268</v>
      </c>
      <c r="J14" s="59">
        <v>3060</v>
      </c>
      <c r="K14" s="70">
        <v>0.57432399999999995</v>
      </c>
      <c r="L14" s="59">
        <v>2206</v>
      </c>
      <c r="M14" s="59">
        <v>3054</v>
      </c>
      <c r="N14" s="70">
        <v>0.58060800000000001</v>
      </c>
      <c r="O14" s="59">
        <v>2078</v>
      </c>
      <c r="P14" s="59">
        <v>2839</v>
      </c>
      <c r="Q14" s="70">
        <v>0.57738400000000001</v>
      </c>
      <c r="R14" s="59">
        <v>1903</v>
      </c>
      <c r="S14" s="59">
        <v>2704</v>
      </c>
      <c r="T14" s="70">
        <v>0.58693200000000001</v>
      </c>
      <c r="U14" s="59">
        <v>1732</v>
      </c>
      <c r="V14" s="59">
        <v>2488</v>
      </c>
      <c r="W14" s="70">
        <v>0.58957300000000001</v>
      </c>
      <c r="X14" s="59">
        <v>1566</v>
      </c>
      <c r="Y14" s="59">
        <v>2261</v>
      </c>
      <c r="Z14" s="70">
        <v>0.59080200000000005</v>
      </c>
      <c r="AA14" s="59">
        <v>1386</v>
      </c>
      <c r="AB14" s="59">
        <v>2039</v>
      </c>
      <c r="AC14" s="70">
        <v>0.59532799999999997</v>
      </c>
      <c r="AD14" s="59">
        <v>1221</v>
      </c>
      <c r="AE14" s="59">
        <v>1941</v>
      </c>
      <c r="AF14" s="70">
        <v>0.61385100000000004</v>
      </c>
    </row>
    <row r="15" spans="2:32" x14ac:dyDescent="0.2">
      <c r="B15" s="69" t="s">
        <v>22</v>
      </c>
      <c r="C15" s="59">
        <v>1296</v>
      </c>
      <c r="D15" s="59">
        <v>2115</v>
      </c>
      <c r="E15" s="70">
        <v>0.62005200000000005</v>
      </c>
      <c r="F15" s="59">
        <v>1245</v>
      </c>
      <c r="G15" s="59">
        <v>2030</v>
      </c>
      <c r="H15" s="70">
        <v>0.61984700000000004</v>
      </c>
      <c r="I15" s="59">
        <v>1216</v>
      </c>
      <c r="J15" s="59">
        <v>1915</v>
      </c>
      <c r="K15" s="70">
        <v>0.61162499999999997</v>
      </c>
      <c r="L15" s="59">
        <v>1156</v>
      </c>
      <c r="M15" s="59">
        <v>1814</v>
      </c>
      <c r="N15" s="70">
        <v>0.61077400000000004</v>
      </c>
      <c r="O15" s="59">
        <v>1061</v>
      </c>
      <c r="P15" s="59">
        <v>1691</v>
      </c>
      <c r="Q15" s="70">
        <v>0.61446199999999995</v>
      </c>
      <c r="R15" s="59">
        <v>943</v>
      </c>
      <c r="S15" s="59">
        <v>1446</v>
      </c>
      <c r="T15" s="70">
        <v>0.60527399999999998</v>
      </c>
      <c r="U15" s="59">
        <v>872</v>
      </c>
      <c r="V15" s="59">
        <v>1335</v>
      </c>
      <c r="W15" s="70">
        <v>0.60489300000000001</v>
      </c>
      <c r="X15" s="59">
        <v>778</v>
      </c>
      <c r="Y15" s="59">
        <v>1144</v>
      </c>
      <c r="Z15" s="70">
        <v>0.59521299999999999</v>
      </c>
      <c r="AA15" s="59">
        <v>644</v>
      </c>
      <c r="AB15" s="59">
        <v>1006</v>
      </c>
      <c r="AC15" s="70">
        <v>0.60969600000000002</v>
      </c>
      <c r="AD15" s="59">
        <v>618</v>
      </c>
      <c r="AE15" s="59">
        <v>1065</v>
      </c>
      <c r="AF15" s="70">
        <v>0.63279799999999997</v>
      </c>
    </row>
    <row r="16" spans="2:32" x14ac:dyDescent="0.2">
      <c r="B16" s="69" t="s">
        <v>23</v>
      </c>
      <c r="C16" s="59">
        <v>3663</v>
      </c>
      <c r="D16" s="59">
        <v>5066</v>
      </c>
      <c r="E16" s="70">
        <v>0.58036399999999999</v>
      </c>
      <c r="F16" s="59">
        <v>3663</v>
      </c>
      <c r="G16" s="59">
        <v>5062</v>
      </c>
      <c r="H16" s="70">
        <v>0.58017099999999999</v>
      </c>
      <c r="I16" s="59">
        <v>3578</v>
      </c>
      <c r="J16" s="59">
        <v>4790</v>
      </c>
      <c r="K16" s="70">
        <v>0.57241799999999998</v>
      </c>
      <c r="L16" s="59">
        <v>3551</v>
      </c>
      <c r="M16" s="59">
        <v>4728</v>
      </c>
      <c r="N16" s="70">
        <v>0.57108300000000001</v>
      </c>
      <c r="O16" s="59">
        <v>3428</v>
      </c>
      <c r="P16" s="59">
        <v>4619</v>
      </c>
      <c r="Q16" s="70">
        <v>0.57400200000000001</v>
      </c>
      <c r="R16" s="59">
        <v>3372</v>
      </c>
      <c r="S16" s="59">
        <v>4616</v>
      </c>
      <c r="T16" s="70">
        <v>0.57786599999999999</v>
      </c>
      <c r="U16" s="59">
        <v>3329</v>
      </c>
      <c r="V16" s="59">
        <v>4598</v>
      </c>
      <c r="W16" s="70">
        <v>0.58004199999999995</v>
      </c>
      <c r="X16" s="59">
        <v>3180</v>
      </c>
      <c r="Y16" s="59">
        <v>4568</v>
      </c>
      <c r="Z16" s="70">
        <v>0.58957099999999996</v>
      </c>
      <c r="AA16" s="59">
        <v>3165</v>
      </c>
      <c r="AB16" s="59">
        <v>4616</v>
      </c>
      <c r="AC16" s="70">
        <v>0.59323899999999996</v>
      </c>
      <c r="AD16" s="59">
        <v>3143</v>
      </c>
      <c r="AE16" s="59">
        <v>4674</v>
      </c>
      <c r="AF16" s="70">
        <v>0.59792699999999999</v>
      </c>
    </row>
    <row r="17" spans="2:32" x14ac:dyDescent="0.2">
      <c r="B17" s="69" t="s">
        <v>24</v>
      </c>
      <c r="C17" s="59">
        <v>3816</v>
      </c>
      <c r="D17" s="59">
        <v>4510</v>
      </c>
      <c r="E17" s="70">
        <v>0.54167600000000005</v>
      </c>
      <c r="F17" s="59">
        <v>3794</v>
      </c>
      <c r="G17" s="59">
        <v>4389</v>
      </c>
      <c r="H17" s="70">
        <v>0.53635500000000003</v>
      </c>
      <c r="I17" s="59">
        <v>3728</v>
      </c>
      <c r="J17" s="59">
        <v>3996</v>
      </c>
      <c r="K17" s="70">
        <v>0.51734800000000003</v>
      </c>
      <c r="L17" s="59">
        <v>3700</v>
      </c>
      <c r="M17" s="59">
        <v>3848</v>
      </c>
      <c r="N17" s="70">
        <v>0.50980300000000001</v>
      </c>
      <c r="O17" s="59">
        <v>3615</v>
      </c>
      <c r="P17" s="59">
        <v>3740</v>
      </c>
      <c r="Q17" s="70">
        <v>0.50849699999999998</v>
      </c>
      <c r="R17" s="59">
        <v>3450</v>
      </c>
      <c r="S17" s="59">
        <v>3608</v>
      </c>
      <c r="T17" s="70">
        <v>0.51119199999999998</v>
      </c>
      <c r="U17" s="59">
        <v>3433</v>
      </c>
      <c r="V17" s="59">
        <v>3556</v>
      </c>
      <c r="W17" s="70">
        <v>0.508799</v>
      </c>
      <c r="X17" s="59">
        <v>3179</v>
      </c>
      <c r="Y17" s="59">
        <v>3402</v>
      </c>
      <c r="Z17" s="70">
        <v>0.51694200000000001</v>
      </c>
      <c r="AA17" s="59">
        <v>2995</v>
      </c>
      <c r="AB17" s="59">
        <v>3413</v>
      </c>
      <c r="AC17" s="70">
        <v>0.53261499999999995</v>
      </c>
      <c r="AD17" s="59">
        <v>2827</v>
      </c>
      <c r="AE17" s="59">
        <v>3269</v>
      </c>
      <c r="AF17" s="70">
        <v>0.53625299999999998</v>
      </c>
    </row>
    <row r="18" spans="2:32" x14ac:dyDescent="0.2">
      <c r="B18" s="69" t="s">
        <v>25</v>
      </c>
      <c r="C18" s="59">
        <v>3737</v>
      </c>
      <c r="D18" s="59">
        <v>5115</v>
      </c>
      <c r="E18" s="70">
        <v>0.57783499999999999</v>
      </c>
      <c r="F18" s="59">
        <v>3664</v>
      </c>
      <c r="G18" s="59">
        <v>5048</v>
      </c>
      <c r="H18" s="70">
        <v>0.57943</v>
      </c>
      <c r="I18" s="59">
        <v>3608</v>
      </c>
      <c r="J18" s="59">
        <v>4951</v>
      </c>
      <c r="K18" s="70">
        <v>0.57845500000000005</v>
      </c>
      <c r="L18" s="59">
        <v>3529</v>
      </c>
      <c r="M18" s="59">
        <v>4818</v>
      </c>
      <c r="N18" s="70">
        <v>0.57721299999999998</v>
      </c>
      <c r="O18" s="59">
        <v>3509</v>
      </c>
      <c r="P18" s="59">
        <v>4986</v>
      </c>
      <c r="Q18" s="70">
        <v>0.58693300000000004</v>
      </c>
      <c r="R18" s="59">
        <v>3503</v>
      </c>
      <c r="S18" s="59">
        <v>5125</v>
      </c>
      <c r="T18" s="70">
        <v>0.59399599999999997</v>
      </c>
      <c r="U18" s="59">
        <v>3622</v>
      </c>
      <c r="V18" s="59">
        <v>5259</v>
      </c>
      <c r="W18" s="70">
        <v>0.59216299999999999</v>
      </c>
      <c r="X18" s="59">
        <v>3639</v>
      </c>
      <c r="Y18" s="59">
        <v>5256</v>
      </c>
      <c r="Z18" s="70">
        <v>0.590893</v>
      </c>
      <c r="AA18" s="59">
        <v>3653</v>
      </c>
      <c r="AB18" s="59">
        <v>5171</v>
      </c>
      <c r="AC18" s="70">
        <v>0.58601499999999995</v>
      </c>
      <c r="AD18" s="59">
        <v>3640</v>
      </c>
      <c r="AE18" s="59">
        <v>5166</v>
      </c>
      <c r="AF18" s="70">
        <v>0.58664499999999997</v>
      </c>
    </row>
    <row r="19" spans="2:32" x14ac:dyDescent="0.2">
      <c r="B19" s="71" t="s">
        <v>26</v>
      </c>
      <c r="C19" s="62">
        <v>5614</v>
      </c>
      <c r="D19" s="62">
        <v>8876</v>
      </c>
      <c r="E19" s="72">
        <v>0.61255999999999999</v>
      </c>
      <c r="F19" s="62">
        <v>5942</v>
      </c>
      <c r="G19" s="62">
        <v>9158</v>
      </c>
      <c r="H19" s="72">
        <v>0.60648999999999997</v>
      </c>
      <c r="I19" s="62">
        <v>6068</v>
      </c>
      <c r="J19" s="62">
        <v>9343</v>
      </c>
      <c r="K19" s="72">
        <v>0.60625499999999999</v>
      </c>
      <c r="L19" s="62">
        <v>6209</v>
      </c>
      <c r="M19" s="62">
        <v>9636</v>
      </c>
      <c r="N19" s="72">
        <v>0.60814100000000004</v>
      </c>
      <c r="O19" s="62">
        <v>6268</v>
      </c>
      <c r="P19" s="62">
        <v>9818</v>
      </c>
      <c r="Q19" s="72">
        <v>0.610344</v>
      </c>
      <c r="R19" s="62">
        <v>6444</v>
      </c>
      <c r="S19" s="62">
        <v>10162</v>
      </c>
      <c r="T19" s="72">
        <v>0.61194700000000002</v>
      </c>
      <c r="U19" s="62">
        <v>6643</v>
      </c>
      <c r="V19" s="62">
        <v>10363</v>
      </c>
      <c r="W19" s="72">
        <v>0.60937300000000005</v>
      </c>
      <c r="X19" s="62">
        <v>6872</v>
      </c>
      <c r="Y19" s="62">
        <v>10464</v>
      </c>
      <c r="Z19" s="72">
        <v>0.603599</v>
      </c>
      <c r="AA19" s="62">
        <v>6950</v>
      </c>
      <c r="AB19" s="62">
        <v>10602</v>
      </c>
      <c r="AC19" s="72">
        <v>0.60403300000000004</v>
      </c>
      <c r="AD19" s="62">
        <v>6887</v>
      </c>
      <c r="AE19" s="62">
        <v>10804</v>
      </c>
      <c r="AF19" s="72">
        <v>0.61070599999999997</v>
      </c>
    </row>
    <row r="20" spans="2:32" x14ac:dyDescent="0.2">
      <c r="B20" s="20" t="s">
        <v>27</v>
      </c>
      <c r="C20" s="21">
        <f>SUBTOTAL(109,'Enrollment by Gender Trend'!$C$6:$C$19)</f>
        <v>49675</v>
      </c>
      <c r="D20" s="21">
        <f>SUBTOTAL(109,'Enrollment by Gender Trend'!$D$6:$D$19)</f>
        <v>69838</v>
      </c>
      <c r="E20" s="22">
        <f>'Enrollment by Gender Trend'!$D$20 / ('Enrollment by Gender Trend'!$D$20 + 'Enrollment by Gender Trend'!$C$20)</f>
        <v>0.58435484005924043</v>
      </c>
      <c r="F20" s="21">
        <f>SUBTOTAL(109,'Enrollment by Gender Trend'!$F$6:$F$19)</f>
        <v>49463</v>
      </c>
      <c r="G20" s="21">
        <f>SUBTOTAL(109,'Enrollment by Gender Trend'!$G$6:$G$19)</f>
        <v>68761</v>
      </c>
      <c r="H20" s="22">
        <f>'Enrollment by Gender Trend'!$G$20 / ('Enrollment by Gender Trend'!$G$20 + 'Enrollment by Gender Trend'!$F$20)</f>
        <v>0.58161625389091898</v>
      </c>
      <c r="I20" s="21">
        <f>SUBTOTAL(109,'Enrollment by Gender Trend'!$I$6:$I$19)</f>
        <v>48536</v>
      </c>
      <c r="J20" s="21">
        <f>SUBTOTAL(109,'Enrollment by Gender Trend'!$J$6:$J$19)</f>
        <v>66152</v>
      </c>
      <c r="K20" s="22">
        <f>'Enrollment by Gender Trend'!$J$20 /('Enrollment by Gender Trend'!$I$20 + 'Enrollment by Gender Trend'!$J$20)</f>
        <v>0.5767996651785714</v>
      </c>
      <c r="L20" s="21">
        <f>SUBTOTAL(109,'Enrollment by Gender Trend'!$L$6:$L$19)</f>
        <v>47542</v>
      </c>
      <c r="M20" s="21">
        <f>SUBTOTAL(109,'Enrollment by Gender Trend'!$M$6:$M$19)</f>
        <v>64683</v>
      </c>
      <c r="N20" s="22">
        <f>'Enrollment by Gender Trend'!$M$20 / ('Enrollment by Gender Trend'!$M$20 + 'Enrollment by Gender Trend'!$L$20)</f>
        <v>0.57636890175985744</v>
      </c>
      <c r="O20" s="21">
        <f>SUBTOTAL(109,'Enrollment by Gender Trend'!$O$6:$O$19)</f>
        <v>46462</v>
      </c>
      <c r="P20" s="21">
        <f>SUBTOTAL(109,'Enrollment by Gender Trend'!$P$6:$P$19)</f>
        <v>63346</v>
      </c>
      <c r="Q20" s="22">
        <f>'Enrollment by Gender Trend'!$P$20 /('Enrollment by Gender Trend'!$P$20 +'Enrollment by Gender Trend'!$O$20)</f>
        <v>0.57687964447034823</v>
      </c>
      <c r="R20" s="21">
        <f>SUBTOTAL(109,'Enrollment by Gender Trend'!$R$6:$R$19)</f>
        <v>45093</v>
      </c>
      <c r="S20" s="21">
        <f>SUBTOTAL(109,'Enrollment by Gender Trend'!$S$6:$S$19)</f>
        <v>62306</v>
      </c>
      <c r="T20" s="22">
        <f>'Enrollment by Gender Trend'!$S$20 / ('Enrollment by Gender Trend'!$S$20 + 'Enrollment by Gender Trend'!$R$20 )</f>
        <v>0.58013575545396134</v>
      </c>
      <c r="U20" s="21">
        <f>SUBTOTAL(109,'Enrollment by Gender Trend'!$U$6:$U$19)</f>
        <v>43875</v>
      </c>
      <c r="V20" s="21">
        <f>SUBTOTAL(109,'Enrollment by Gender Trend'!$V$6:$V$19)</f>
        <v>61174</v>
      </c>
      <c r="W20" s="22">
        <f>'Enrollment by Gender Trend'!$V$20 / ('Enrollment by Gender Trend'!$U$20 + 'Enrollment by Gender Trend'!$V$20)</f>
        <v>0.58233776618530397</v>
      </c>
      <c r="X20" s="21">
        <f>SUBTOTAL(109,'Enrollment by Gender Trend'!$X$6:$X$19)</f>
        <v>42670</v>
      </c>
      <c r="Y20" s="21">
        <f>SUBTOTAL(109,'Enrollment by Gender Trend'!$Y$6:$Y$19)</f>
        <v>59902</v>
      </c>
      <c r="Z20" s="22">
        <f>'Enrollment by Gender Trend'!$Y$20 / ( 'Enrollment by Gender Trend'!$X$20 + 'Enrollment by Gender Trend'!$Y$20)</f>
        <v>0.58399953203603328</v>
      </c>
      <c r="AA20" s="21">
        <f>SUBTOTAL(109,'Enrollment by Gender Trend'!$AA$6:$AA$19)</f>
        <v>40236</v>
      </c>
      <c r="AB20" s="21">
        <f>SUBTOTAL(109,'Enrollment by Gender Trend'!$AB$6:$AB$19)</f>
        <v>58127</v>
      </c>
      <c r="AC20" s="22">
        <f>'Enrollment by Gender Trend'!$AB$20 / ('Enrollment by Gender Trend'!$AB$20 + 'Enrollment by Gender Trend'!$AA$20)</f>
        <v>0.59094374917397807</v>
      </c>
      <c r="AD20" s="21">
        <f>SUBTOTAL(109,'Enrollment by Gender Trend'!$AD$6:$AD$19)</f>
        <v>38402</v>
      </c>
      <c r="AE20" s="21">
        <f>SUBTOTAL(109,'Enrollment by Gender Trend'!$AE$6:$AE$19)</f>
        <v>57400</v>
      </c>
      <c r="AF20" s="22">
        <f>'Enrollment by Gender Trend'!$AE$20 / ('Enrollment by Gender Trend'!$AE$20 + 'Enrollment by Gender Trend'!$AD$20)</f>
        <v>0.59915241852988455</v>
      </c>
    </row>
    <row r="23" spans="2:32" ht="15" x14ac:dyDescent="0.2">
      <c r="B23" s="131" t="s">
        <v>156</v>
      </c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</row>
    <row r="24" spans="2:32" x14ac:dyDescent="0.2">
      <c r="B24" s="134" t="s">
        <v>1</v>
      </c>
      <c r="C24" s="133" t="str">
        <f>CONCATENATE(IF(RIGHT(Parameters!B1,1) = "1","Fall ", "Spring "),IF(RIGHT(Parameters!B1,1) = "1",LEFT(Parameters!B1,4) -9, LEFT(Parameters!B1,4) - 8))</f>
        <v>Fall 2010</v>
      </c>
      <c r="D24" s="133"/>
      <c r="E24" s="133"/>
      <c r="F24" s="133" t="str">
        <f>CONCATENATE(IF(RIGHT(Parameters!B1,1) = "1","Fall ", "Spring "),IF(RIGHT(Parameters!B1,1) = "1",LEFT(Parameters!B1,4) -8, LEFT(Parameters!B1,4) - 7))</f>
        <v>Fall 2011</v>
      </c>
      <c r="G24" s="133"/>
      <c r="H24" s="133"/>
      <c r="I24" s="133" t="str">
        <f>CONCATENATE(IF(RIGHT(Parameters!B1,1) = "1","Fall ", "Spring "),IF(RIGHT(Parameters!B1,1) = "1",LEFT(Parameters!B1,4) -7, LEFT(Parameters!B1,4) - 6))</f>
        <v>Fall 2012</v>
      </c>
      <c r="J24" s="133"/>
      <c r="K24" s="133"/>
      <c r="L24" s="133" t="str">
        <f>CONCATENATE(IF(RIGHT(Parameters!B1,1) = "1","Fall ", "Spring "),IF(RIGHT(Parameters!B1,1) = "1",LEFT(Parameters!B1,4) -6, LEFT(Parameters!B1,4) - 5))</f>
        <v>Fall 2013</v>
      </c>
      <c r="M24" s="133"/>
      <c r="N24" s="133"/>
      <c r="O24" s="133" t="str">
        <f>CONCATENATE(IF(RIGHT(Parameters!B1,1) = "1","Fall ", "Spring "),IF(RIGHT(Parameters!B1,1) = "1",LEFT(Parameters!B1,4) -5, LEFT(Parameters!B1,4) - 4))</f>
        <v>Fall 2014</v>
      </c>
      <c r="P24" s="133"/>
      <c r="Q24" s="133"/>
      <c r="R24" s="133" t="str">
        <f>CONCATENATE(IF(RIGHT(Parameters!B1,1) = "1","Fall ", "Spring "),IF(RIGHT(Parameters!B1,1) = "1",LEFT(Parameters!B1,4) -4, LEFT(Parameters!B1,4) - 3))</f>
        <v>Fall 2015</v>
      </c>
      <c r="S24" s="133"/>
      <c r="T24" s="133"/>
      <c r="U24" s="133" t="str">
        <f>CONCATENATE(IF(RIGHT(Parameters!B1,1) = "1","Fall ", "Spring "),IF(RIGHT(Parameters!B1,1) = "1",LEFT(Parameters!B1,4) -3, LEFT(Parameters!B1,4) -2 ))</f>
        <v>Fall 2016</v>
      </c>
      <c r="V24" s="133"/>
      <c r="W24" s="133"/>
      <c r="X24" s="133" t="str">
        <f>CONCATENATE(IF(RIGHT(Parameters!B1,1) = "1","Fall ", "Spring "),IF(RIGHT(Parameters!B1,1) = "1",LEFT(Parameters!B1,4) -2, LEFT(Parameters!B1,4) -1 ))</f>
        <v>Fall 2017</v>
      </c>
      <c r="Y24" s="133"/>
      <c r="Z24" s="133"/>
      <c r="AA24" s="133" t="str">
        <f>CONCATENATE(IF(RIGHT(Parameters!B1,1) = "1","Fall ", "Spring "),IF(RIGHT(Parameters!B1,1) = "1",LEFT(Parameters!B1,4) -1, LEFT(Parameters!B1,4)  ))</f>
        <v>Fall 2018</v>
      </c>
      <c r="AB24" s="133"/>
      <c r="AC24" s="133"/>
      <c r="AD24" s="133" t="str">
        <f>CONCATENATE(IF(RIGHT(Parameters!B1,1) = "1","Fall ", "Spring "),IF(RIGHT(Parameters!B1,1) = "1",LEFT(Parameters!B1,4), LEFT(Parameters!B1,4) + 1))</f>
        <v>Fall 2019</v>
      </c>
      <c r="AE24" s="133"/>
      <c r="AF24" s="133"/>
    </row>
    <row r="25" spans="2:32" ht="28.5" x14ac:dyDescent="0.2">
      <c r="B25" s="135"/>
      <c r="C25" s="54" t="s">
        <v>153</v>
      </c>
      <c r="D25" s="54" t="s">
        <v>154</v>
      </c>
      <c r="E25" s="54" t="s">
        <v>155</v>
      </c>
      <c r="F25" s="54" t="s">
        <v>153</v>
      </c>
      <c r="G25" s="54" t="s">
        <v>154</v>
      </c>
      <c r="H25" s="54" t="s">
        <v>155</v>
      </c>
      <c r="I25" s="54" t="s">
        <v>153</v>
      </c>
      <c r="J25" s="54" t="s">
        <v>154</v>
      </c>
      <c r="K25" s="54" t="s">
        <v>155</v>
      </c>
      <c r="L25" s="54" t="s">
        <v>153</v>
      </c>
      <c r="M25" s="54" t="s">
        <v>154</v>
      </c>
      <c r="N25" s="54" t="s">
        <v>155</v>
      </c>
      <c r="O25" s="54" t="s">
        <v>153</v>
      </c>
      <c r="P25" s="54" t="s">
        <v>154</v>
      </c>
      <c r="Q25" s="54" t="s">
        <v>155</v>
      </c>
      <c r="R25" s="54" t="s">
        <v>153</v>
      </c>
      <c r="S25" s="54" t="s">
        <v>154</v>
      </c>
      <c r="T25" s="54" t="s">
        <v>155</v>
      </c>
      <c r="U25" s="54" t="s">
        <v>153</v>
      </c>
      <c r="V25" s="54" t="s">
        <v>154</v>
      </c>
      <c r="W25" s="54" t="s">
        <v>155</v>
      </c>
      <c r="X25" s="54" t="s">
        <v>153</v>
      </c>
      <c r="Y25" s="54" t="s">
        <v>154</v>
      </c>
      <c r="Z25" s="54" t="s">
        <v>155</v>
      </c>
      <c r="AA25" s="54" t="s">
        <v>153</v>
      </c>
      <c r="AB25" s="54" t="s">
        <v>154</v>
      </c>
      <c r="AC25" s="54" t="s">
        <v>155</v>
      </c>
      <c r="AD25" s="54" t="s">
        <v>153</v>
      </c>
      <c r="AE25" s="54" t="s">
        <v>154</v>
      </c>
      <c r="AF25" s="54" t="s">
        <v>155</v>
      </c>
    </row>
    <row r="26" spans="2:32" ht="17.25" hidden="1" customHeight="1" thickBot="1" x14ac:dyDescent="0.25">
      <c r="B26" s="26" t="s">
        <v>2</v>
      </c>
      <c r="C26" s="26" t="s">
        <v>84</v>
      </c>
      <c r="D26" s="26" t="s">
        <v>85</v>
      </c>
      <c r="E26" s="26" t="s">
        <v>86</v>
      </c>
      <c r="F26" s="26" t="s">
        <v>87</v>
      </c>
      <c r="G26" s="26" t="s">
        <v>88</v>
      </c>
      <c r="H26" s="26" t="s">
        <v>89</v>
      </c>
      <c r="I26" s="26" t="s">
        <v>90</v>
      </c>
      <c r="J26" s="26" t="s">
        <v>91</v>
      </c>
      <c r="K26" s="26" t="s">
        <v>92</v>
      </c>
      <c r="L26" s="26" t="s">
        <v>93</v>
      </c>
      <c r="M26" s="26" t="s">
        <v>94</v>
      </c>
      <c r="N26" s="26" t="s">
        <v>95</v>
      </c>
      <c r="O26" s="26" t="s">
        <v>96</v>
      </c>
      <c r="P26" s="26" t="s">
        <v>97</v>
      </c>
      <c r="Q26" s="26" t="s">
        <v>98</v>
      </c>
      <c r="R26" s="26" t="s">
        <v>99</v>
      </c>
      <c r="S26" s="26" t="s">
        <v>100</v>
      </c>
      <c r="T26" s="26" t="s">
        <v>101</v>
      </c>
      <c r="U26" s="26" t="s">
        <v>102</v>
      </c>
      <c r="V26" s="26" t="s">
        <v>103</v>
      </c>
      <c r="W26" s="26" t="s">
        <v>104</v>
      </c>
      <c r="X26" s="26" t="s">
        <v>105</v>
      </c>
      <c r="Y26" s="26" t="s">
        <v>106</v>
      </c>
      <c r="Z26" s="26" t="s">
        <v>107</v>
      </c>
      <c r="AA26" s="26" t="s">
        <v>108</v>
      </c>
      <c r="AB26" s="26" t="s">
        <v>109</v>
      </c>
      <c r="AC26" s="26" t="s">
        <v>110</v>
      </c>
      <c r="AD26" s="26" t="s">
        <v>111</v>
      </c>
      <c r="AE26" s="26" t="s">
        <v>112</v>
      </c>
      <c r="AF26" s="26" t="s">
        <v>113</v>
      </c>
    </row>
    <row r="27" spans="2:32" x14ac:dyDescent="0.2">
      <c r="B27" s="67" t="s">
        <v>13</v>
      </c>
      <c r="C27" s="57">
        <v>3895</v>
      </c>
      <c r="D27" s="57">
        <v>5241</v>
      </c>
      <c r="E27" s="68">
        <v>0.57366399999999995</v>
      </c>
      <c r="F27" s="57">
        <v>3985</v>
      </c>
      <c r="G27" s="57">
        <v>5271</v>
      </c>
      <c r="H27" s="68">
        <v>0.56946799999999997</v>
      </c>
      <c r="I27" s="57">
        <v>3996</v>
      </c>
      <c r="J27" s="57">
        <v>5207</v>
      </c>
      <c r="K27" s="68">
        <v>0.56579299999999999</v>
      </c>
      <c r="L27" s="57">
        <v>4098</v>
      </c>
      <c r="M27" s="57">
        <v>5318</v>
      </c>
      <c r="N27" s="68">
        <v>0.56478300000000004</v>
      </c>
      <c r="O27" s="57">
        <v>4048</v>
      </c>
      <c r="P27" s="57">
        <v>5271</v>
      </c>
      <c r="Q27" s="68">
        <v>0.56561799999999995</v>
      </c>
      <c r="R27" s="57">
        <v>3956</v>
      </c>
      <c r="S27" s="57">
        <v>5202</v>
      </c>
      <c r="T27" s="68">
        <v>0.56802699999999995</v>
      </c>
      <c r="U27" s="57">
        <v>3903</v>
      </c>
      <c r="V27" s="57">
        <v>5092</v>
      </c>
      <c r="W27" s="68">
        <v>0.56609200000000004</v>
      </c>
      <c r="X27" s="57">
        <v>3732</v>
      </c>
      <c r="Y27" s="57">
        <v>4874</v>
      </c>
      <c r="Z27" s="68">
        <v>0.56634899999999999</v>
      </c>
      <c r="AA27" s="57">
        <v>3513</v>
      </c>
      <c r="AB27" s="57">
        <v>4740</v>
      </c>
      <c r="AC27" s="68">
        <v>0.57433599999999996</v>
      </c>
      <c r="AD27" s="57">
        <v>3337</v>
      </c>
      <c r="AE27" s="57">
        <v>4655</v>
      </c>
      <c r="AF27" s="68">
        <v>0.582457</v>
      </c>
    </row>
    <row r="28" spans="2:32" x14ac:dyDescent="0.2">
      <c r="B28" s="69" t="s">
        <v>14</v>
      </c>
      <c r="C28" s="59">
        <v>3545</v>
      </c>
      <c r="D28" s="59">
        <v>3874</v>
      </c>
      <c r="E28" s="70">
        <v>0.52217199999999997</v>
      </c>
      <c r="F28" s="59">
        <v>3594</v>
      </c>
      <c r="G28" s="59">
        <v>3823</v>
      </c>
      <c r="H28" s="70">
        <v>0.51543700000000003</v>
      </c>
      <c r="I28" s="59">
        <v>3203</v>
      </c>
      <c r="J28" s="59">
        <v>3478</v>
      </c>
      <c r="K28" s="70">
        <v>0.52058000000000004</v>
      </c>
      <c r="L28" s="59">
        <v>3122</v>
      </c>
      <c r="M28" s="59">
        <v>3328</v>
      </c>
      <c r="N28" s="70">
        <v>0.51596799999999998</v>
      </c>
      <c r="O28" s="59">
        <v>2897</v>
      </c>
      <c r="P28" s="59">
        <v>3179</v>
      </c>
      <c r="Q28" s="70">
        <v>0.52320599999999995</v>
      </c>
      <c r="R28" s="59">
        <v>2710</v>
      </c>
      <c r="S28" s="59">
        <v>3075</v>
      </c>
      <c r="T28" s="70">
        <v>0.53154699999999999</v>
      </c>
      <c r="U28" s="59">
        <v>2548</v>
      </c>
      <c r="V28" s="59">
        <v>2974</v>
      </c>
      <c r="W28" s="70">
        <v>0.53857200000000005</v>
      </c>
      <c r="X28" s="59">
        <v>2588</v>
      </c>
      <c r="Y28" s="59">
        <v>2969</v>
      </c>
      <c r="Z28" s="70">
        <v>0.53428100000000001</v>
      </c>
      <c r="AA28" s="59">
        <v>2358</v>
      </c>
      <c r="AB28" s="59">
        <v>2816</v>
      </c>
      <c r="AC28" s="70">
        <v>0.54425900000000005</v>
      </c>
      <c r="AD28" s="59">
        <v>2183</v>
      </c>
      <c r="AE28" s="59">
        <v>2673</v>
      </c>
      <c r="AF28" s="70">
        <v>0.55045299999999997</v>
      </c>
    </row>
    <row r="29" spans="2:32" x14ac:dyDescent="0.2">
      <c r="B29" s="69" t="s">
        <v>15</v>
      </c>
      <c r="C29" s="59">
        <v>707</v>
      </c>
      <c r="D29" s="59">
        <v>801</v>
      </c>
      <c r="E29" s="70">
        <v>0.53116699999999994</v>
      </c>
      <c r="F29" s="59">
        <v>548</v>
      </c>
      <c r="G29" s="59">
        <v>593</v>
      </c>
      <c r="H29" s="70">
        <v>0.51971900000000004</v>
      </c>
      <c r="I29" s="59">
        <v>596</v>
      </c>
      <c r="J29" s="59">
        <v>628</v>
      </c>
      <c r="K29" s="70">
        <v>0.51307100000000005</v>
      </c>
      <c r="L29" s="59">
        <v>570</v>
      </c>
      <c r="M29" s="59">
        <v>609</v>
      </c>
      <c r="N29" s="70">
        <v>0.51653899999999997</v>
      </c>
      <c r="O29" s="59">
        <v>499</v>
      </c>
      <c r="P29" s="59">
        <v>498</v>
      </c>
      <c r="Q29" s="70">
        <v>0.499498</v>
      </c>
      <c r="R29" s="59">
        <v>341</v>
      </c>
      <c r="S29" s="59">
        <v>345</v>
      </c>
      <c r="T29" s="70">
        <v>0.502915</v>
      </c>
      <c r="U29" s="59">
        <v>366</v>
      </c>
      <c r="V29" s="59">
        <v>343</v>
      </c>
      <c r="W29" s="70">
        <v>0.48377900000000001</v>
      </c>
      <c r="X29" s="59">
        <v>378</v>
      </c>
      <c r="Y29" s="59">
        <v>345</v>
      </c>
      <c r="Z29" s="70">
        <v>0.47717799999999999</v>
      </c>
      <c r="AA29" s="59">
        <v>192</v>
      </c>
      <c r="AB29" s="59">
        <v>277</v>
      </c>
      <c r="AC29" s="70">
        <v>0.59061799999999998</v>
      </c>
      <c r="AD29" s="59">
        <v>230</v>
      </c>
      <c r="AE29" s="59">
        <v>388</v>
      </c>
      <c r="AF29" s="70">
        <v>0.62783100000000003</v>
      </c>
    </row>
    <row r="30" spans="2:32" x14ac:dyDescent="0.2">
      <c r="B30" s="69" t="s">
        <v>16</v>
      </c>
      <c r="C30" s="59">
        <v>2395</v>
      </c>
      <c r="D30" s="59">
        <v>3830</v>
      </c>
      <c r="E30" s="70">
        <v>0.61526099999999995</v>
      </c>
      <c r="F30" s="59">
        <v>2229</v>
      </c>
      <c r="G30" s="59">
        <v>3647</v>
      </c>
      <c r="H30" s="70">
        <v>0.62065999999999999</v>
      </c>
      <c r="I30" s="59">
        <v>2069</v>
      </c>
      <c r="J30" s="59">
        <v>3449</v>
      </c>
      <c r="K30" s="70">
        <v>0.62504499999999996</v>
      </c>
      <c r="L30" s="59">
        <v>1934</v>
      </c>
      <c r="M30" s="59">
        <v>3265</v>
      </c>
      <c r="N30" s="70">
        <v>0.62800500000000004</v>
      </c>
      <c r="O30" s="59">
        <v>1832</v>
      </c>
      <c r="P30" s="59">
        <v>3074</v>
      </c>
      <c r="Q30" s="70">
        <v>0.626579</v>
      </c>
      <c r="R30" s="59">
        <v>1687</v>
      </c>
      <c r="S30" s="59">
        <v>2868</v>
      </c>
      <c r="T30" s="70">
        <v>0.629637</v>
      </c>
      <c r="U30" s="59">
        <v>1567</v>
      </c>
      <c r="V30" s="59">
        <v>2763</v>
      </c>
      <c r="W30" s="70">
        <v>0.63810599999999995</v>
      </c>
      <c r="X30" s="59">
        <v>1557</v>
      </c>
      <c r="Y30" s="59">
        <v>2764</v>
      </c>
      <c r="Z30" s="70">
        <v>0.63966599999999996</v>
      </c>
      <c r="AA30" s="59">
        <v>1289</v>
      </c>
      <c r="AB30" s="59">
        <v>2653</v>
      </c>
      <c r="AC30" s="70">
        <v>0.67300800000000005</v>
      </c>
      <c r="AD30" s="59">
        <v>1200</v>
      </c>
      <c r="AE30" s="59">
        <v>2576</v>
      </c>
      <c r="AF30" s="70">
        <v>0.682203</v>
      </c>
    </row>
    <row r="31" spans="2:32" x14ac:dyDescent="0.2">
      <c r="B31" s="69" t="s">
        <v>17</v>
      </c>
      <c r="C31" s="59">
        <v>2886</v>
      </c>
      <c r="D31" s="59">
        <v>3486</v>
      </c>
      <c r="E31" s="70">
        <v>0.54708000000000001</v>
      </c>
      <c r="F31" s="59">
        <v>3009</v>
      </c>
      <c r="G31" s="59">
        <v>3647</v>
      </c>
      <c r="H31" s="70">
        <v>0.54792600000000002</v>
      </c>
      <c r="I31" s="59">
        <v>2884</v>
      </c>
      <c r="J31" s="59">
        <v>3471</v>
      </c>
      <c r="K31" s="70">
        <v>0.546184</v>
      </c>
      <c r="L31" s="59">
        <v>2762</v>
      </c>
      <c r="M31" s="59">
        <v>3424</v>
      </c>
      <c r="N31" s="70">
        <v>0.55350699999999997</v>
      </c>
      <c r="O31" s="59">
        <v>2807</v>
      </c>
      <c r="P31" s="59">
        <v>3397</v>
      </c>
      <c r="Q31" s="70">
        <v>0.54754899999999995</v>
      </c>
      <c r="R31" s="59">
        <v>2728</v>
      </c>
      <c r="S31" s="59">
        <v>3439</v>
      </c>
      <c r="T31" s="70">
        <v>0.55764499999999995</v>
      </c>
      <c r="U31" s="59">
        <v>2665</v>
      </c>
      <c r="V31" s="59">
        <v>3494</v>
      </c>
      <c r="W31" s="70">
        <v>0.567299</v>
      </c>
      <c r="X31" s="59">
        <v>2644</v>
      </c>
      <c r="Y31" s="59">
        <v>3407</v>
      </c>
      <c r="Z31" s="70">
        <v>0.56304699999999996</v>
      </c>
      <c r="AA31" s="59">
        <v>2499</v>
      </c>
      <c r="AB31" s="59">
        <v>3214</v>
      </c>
      <c r="AC31" s="70">
        <v>0.56257599999999996</v>
      </c>
      <c r="AD31" s="59">
        <v>2374</v>
      </c>
      <c r="AE31" s="59">
        <v>3043</v>
      </c>
      <c r="AF31" s="70">
        <v>0.56174999999999997</v>
      </c>
    </row>
    <row r="32" spans="2:32" x14ac:dyDescent="0.2">
      <c r="B32" s="69" t="s">
        <v>18</v>
      </c>
      <c r="C32" s="59">
        <v>2811</v>
      </c>
      <c r="D32" s="59">
        <v>3886</v>
      </c>
      <c r="E32" s="70">
        <v>0.58025899999999997</v>
      </c>
      <c r="F32" s="59">
        <v>2769</v>
      </c>
      <c r="G32" s="59">
        <v>3880</v>
      </c>
      <c r="H32" s="70">
        <v>0.58354600000000001</v>
      </c>
      <c r="I32" s="59">
        <v>2545</v>
      </c>
      <c r="J32" s="59">
        <v>3545</v>
      </c>
      <c r="K32" s="70">
        <v>0.58210099999999998</v>
      </c>
      <c r="L32" s="59">
        <v>2445</v>
      </c>
      <c r="M32" s="59">
        <v>3419</v>
      </c>
      <c r="N32" s="70">
        <v>0.58304900000000004</v>
      </c>
      <c r="O32" s="59">
        <v>2347</v>
      </c>
      <c r="P32" s="59">
        <v>3248</v>
      </c>
      <c r="Q32" s="70">
        <v>0.58051799999999998</v>
      </c>
      <c r="R32" s="59">
        <v>2219</v>
      </c>
      <c r="S32" s="59">
        <v>3028</v>
      </c>
      <c r="T32" s="70">
        <v>0.57709100000000002</v>
      </c>
      <c r="U32" s="59">
        <v>2046</v>
      </c>
      <c r="V32" s="59">
        <v>2794</v>
      </c>
      <c r="W32" s="70">
        <v>0.57727200000000001</v>
      </c>
      <c r="X32" s="59">
        <v>1823</v>
      </c>
      <c r="Y32" s="59">
        <v>2468</v>
      </c>
      <c r="Z32" s="70">
        <v>0.57515700000000003</v>
      </c>
      <c r="AA32" s="59">
        <v>1504</v>
      </c>
      <c r="AB32" s="59">
        <v>2068</v>
      </c>
      <c r="AC32" s="70">
        <v>0.57894699999999999</v>
      </c>
      <c r="AD32" s="59">
        <v>1421</v>
      </c>
      <c r="AE32" s="59">
        <v>1978</v>
      </c>
      <c r="AF32" s="70">
        <v>0.58193499999999998</v>
      </c>
    </row>
    <row r="33" spans="2:32" x14ac:dyDescent="0.2">
      <c r="B33" s="69" t="s">
        <v>19</v>
      </c>
      <c r="C33" s="59">
        <v>5597</v>
      </c>
      <c r="D33" s="59">
        <v>7230</v>
      </c>
      <c r="E33" s="70">
        <v>0.56365399999999999</v>
      </c>
      <c r="F33" s="59">
        <v>5604</v>
      </c>
      <c r="G33" s="59">
        <v>7339</v>
      </c>
      <c r="H33" s="70">
        <v>0.56702399999999997</v>
      </c>
      <c r="I33" s="59">
        <v>5976</v>
      </c>
      <c r="J33" s="59">
        <v>7299</v>
      </c>
      <c r="K33" s="70">
        <v>0.54983000000000004</v>
      </c>
      <c r="L33" s="59">
        <v>5721</v>
      </c>
      <c r="M33" s="59">
        <v>6947</v>
      </c>
      <c r="N33" s="70">
        <v>0.54838900000000002</v>
      </c>
      <c r="O33" s="59">
        <v>5651</v>
      </c>
      <c r="P33" s="59">
        <v>6681</v>
      </c>
      <c r="Q33" s="70">
        <v>0.54176100000000005</v>
      </c>
      <c r="R33" s="59">
        <v>5335</v>
      </c>
      <c r="S33" s="59">
        <v>6462</v>
      </c>
      <c r="T33" s="70">
        <v>0.54776599999999998</v>
      </c>
      <c r="U33" s="59">
        <v>4802</v>
      </c>
      <c r="V33" s="59">
        <v>6077</v>
      </c>
      <c r="W33" s="70">
        <v>0.55859899999999996</v>
      </c>
      <c r="X33" s="59">
        <v>4473</v>
      </c>
      <c r="Y33" s="59">
        <v>5916</v>
      </c>
      <c r="Z33" s="70">
        <v>0.56944799999999995</v>
      </c>
      <c r="AA33" s="59">
        <v>4029</v>
      </c>
      <c r="AB33" s="59">
        <v>5442</v>
      </c>
      <c r="AC33" s="70">
        <v>0.574596</v>
      </c>
      <c r="AD33" s="59">
        <v>3588</v>
      </c>
      <c r="AE33" s="59">
        <v>4979</v>
      </c>
      <c r="AF33" s="70">
        <v>0.58118300000000001</v>
      </c>
    </row>
    <row r="34" spans="2:32" x14ac:dyDescent="0.2">
      <c r="B34" s="69" t="s">
        <v>20</v>
      </c>
      <c r="C34" s="59">
        <v>4098</v>
      </c>
      <c r="D34" s="59">
        <v>5627</v>
      </c>
      <c r="E34" s="70">
        <v>0.57861099999999999</v>
      </c>
      <c r="F34" s="59">
        <v>4061</v>
      </c>
      <c r="G34" s="59">
        <v>5425</v>
      </c>
      <c r="H34" s="70">
        <v>0.57189500000000004</v>
      </c>
      <c r="I34" s="59">
        <v>3918</v>
      </c>
      <c r="J34" s="59">
        <v>5217</v>
      </c>
      <c r="K34" s="70">
        <v>0.57110000000000005</v>
      </c>
      <c r="L34" s="59">
        <v>3829</v>
      </c>
      <c r="M34" s="59">
        <v>4986</v>
      </c>
      <c r="N34" s="70">
        <v>0.56562599999999996</v>
      </c>
      <c r="O34" s="59">
        <v>3782</v>
      </c>
      <c r="P34" s="59">
        <v>4780</v>
      </c>
      <c r="Q34" s="70">
        <v>0.55828</v>
      </c>
      <c r="R34" s="59">
        <v>3783</v>
      </c>
      <c r="S34" s="59">
        <v>4510</v>
      </c>
      <c r="T34" s="70">
        <v>0.54383199999999998</v>
      </c>
      <c r="U34" s="59">
        <v>3570</v>
      </c>
      <c r="V34" s="59">
        <v>4148</v>
      </c>
      <c r="W34" s="70">
        <v>0.53744400000000003</v>
      </c>
      <c r="X34" s="59">
        <v>3508</v>
      </c>
      <c r="Y34" s="59">
        <v>3981</v>
      </c>
      <c r="Z34" s="70">
        <v>0.53157900000000002</v>
      </c>
      <c r="AA34" s="59">
        <v>3456</v>
      </c>
      <c r="AB34" s="59">
        <v>3935</v>
      </c>
      <c r="AC34" s="70">
        <v>0.53240399999999999</v>
      </c>
      <c r="AD34" s="59">
        <v>3206</v>
      </c>
      <c r="AE34" s="59">
        <v>3998</v>
      </c>
      <c r="AF34" s="70">
        <v>0.55496900000000005</v>
      </c>
    </row>
    <row r="35" spans="2:32" x14ac:dyDescent="0.2">
      <c r="B35" s="69" t="s">
        <v>21</v>
      </c>
      <c r="C35" s="59">
        <v>2258</v>
      </c>
      <c r="D35" s="59">
        <v>2857</v>
      </c>
      <c r="E35" s="70">
        <v>0.55855299999999997</v>
      </c>
      <c r="F35" s="59">
        <v>2180</v>
      </c>
      <c r="G35" s="59">
        <v>2849</v>
      </c>
      <c r="H35" s="70">
        <v>0.56651399999999996</v>
      </c>
      <c r="I35" s="59">
        <v>2158</v>
      </c>
      <c r="J35" s="59">
        <v>2811</v>
      </c>
      <c r="K35" s="70">
        <v>0.56570699999999996</v>
      </c>
      <c r="L35" s="59">
        <v>2096</v>
      </c>
      <c r="M35" s="59">
        <v>2759</v>
      </c>
      <c r="N35" s="70">
        <v>0.56828000000000001</v>
      </c>
      <c r="O35" s="59">
        <v>1978</v>
      </c>
      <c r="P35" s="59">
        <v>2543</v>
      </c>
      <c r="Q35" s="70">
        <v>0.56248600000000004</v>
      </c>
      <c r="R35" s="59">
        <v>1806</v>
      </c>
      <c r="S35" s="59">
        <v>2414</v>
      </c>
      <c r="T35" s="70">
        <v>0.57203700000000002</v>
      </c>
      <c r="U35" s="59">
        <v>1638</v>
      </c>
      <c r="V35" s="59">
        <v>2207</v>
      </c>
      <c r="W35" s="70">
        <v>0.57399199999999995</v>
      </c>
      <c r="X35" s="59">
        <v>1475</v>
      </c>
      <c r="Y35" s="59">
        <v>1997</v>
      </c>
      <c r="Z35" s="70">
        <v>0.57517200000000002</v>
      </c>
      <c r="AA35" s="59">
        <v>1289</v>
      </c>
      <c r="AB35" s="59">
        <v>1778</v>
      </c>
      <c r="AC35" s="70">
        <v>0.57971899999999998</v>
      </c>
      <c r="AD35" s="59">
        <v>1100</v>
      </c>
      <c r="AE35" s="59">
        <v>1652</v>
      </c>
      <c r="AF35" s="70">
        <v>0.60028999999999999</v>
      </c>
    </row>
    <row r="36" spans="2:32" x14ac:dyDescent="0.2">
      <c r="B36" s="69" t="s">
        <v>22</v>
      </c>
      <c r="C36" s="59">
        <v>1224</v>
      </c>
      <c r="D36" s="59">
        <v>1721</v>
      </c>
      <c r="E36" s="70">
        <v>0.58438000000000001</v>
      </c>
      <c r="F36" s="59">
        <v>1178</v>
      </c>
      <c r="G36" s="59">
        <v>1698</v>
      </c>
      <c r="H36" s="70">
        <v>0.59040300000000001</v>
      </c>
      <c r="I36" s="59">
        <v>1164</v>
      </c>
      <c r="J36" s="59">
        <v>1660</v>
      </c>
      <c r="K36" s="70">
        <v>0.58781799999999995</v>
      </c>
      <c r="L36" s="59">
        <v>1109</v>
      </c>
      <c r="M36" s="59">
        <v>1608</v>
      </c>
      <c r="N36" s="70">
        <v>0.59182900000000005</v>
      </c>
      <c r="O36" s="59">
        <v>1029</v>
      </c>
      <c r="P36" s="59">
        <v>1558</v>
      </c>
      <c r="Q36" s="70">
        <v>0.60224100000000003</v>
      </c>
      <c r="R36" s="59">
        <v>919</v>
      </c>
      <c r="S36" s="59">
        <v>1349</v>
      </c>
      <c r="T36" s="70">
        <v>0.59479700000000002</v>
      </c>
      <c r="U36" s="59">
        <v>858</v>
      </c>
      <c r="V36" s="59">
        <v>1263</v>
      </c>
      <c r="W36" s="70">
        <v>0.59547300000000003</v>
      </c>
      <c r="X36" s="59">
        <v>770</v>
      </c>
      <c r="Y36" s="59">
        <v>1091</v>
      </c>
      <c r="Z36" s="70">
        <v>0.58624299999999996</v>
      </c>
      <c r="AA36" s="59">
        <v>641</v>
      </c>
      <c r="AB36" s="59">
        <v>971</v>
      </c>
      <c r="AC36" s="70">
        <v>0.60235700000000003</v>
      </c>
      <c r="AD36" s="59">
        <v>616</v>
      </c>
      <c r="AE36" s="59">
        <v>1044</v>
      </c>
      <c r="AF36" s="70">
        <v>0.628915</v>
      </c>
    </row>
    <row r="37" spans="2:32" x14ac:dyDescent="0.2">
      <c r="B37" s="69" t="s">
        <v>23</v>
      </c>
      <c r="C37" s="59">
        <v>3366</v>
      </c>
      <c r="D37" s="59">
        <v>4238</v>
      </c>
      <c r="E37" s="70">
        <v>0.557338</v>
      </c>
      <c r="F37" s="59">
        <v>3400</v>
      </c>
      <c r="G37" s="59">
        <v>4244</v>
      </c>
      <c r="H37" s="70">
        <v>0.55520599999999998</v>
      </c>
      <c r="I37" s="59">
        <v>3324</v>
      </c>
      <c r="J37" s="59">
        <v>4100</v>
      </c>
      <c r="K37" s="70">
        <v>0.55226200000000003</v>
      </c>
      <c r="L37" s="59">
        <v>3312</v>
      </c>
      <c r="M37" s="59">
        <v>4076</v>
      </c>
      <c r="N37" s="70">
        <v>0.551705</v>
      </c>
      <c r="O37" s="59">
        <v>3197</v>
      </c>
      <c r="P37" s="59">
        <v>3974</v>
      </c>
      <c r="Q37" s="70">
        <v>0.554176</v>
      </c>
      <c r="R37" s="59">
        <v>3132</v>
      </c>
      <c r="S37" s="59">
        <v>3952</v>
      </c>
      <c r="T37" s="70">
        <v>0.55787600000000004</v>
      </c>
      <c r="U37" s="59">
        <v>3096</v>
      </c>
      <c r="V37" s="59">
        <v>3884</v>
      </c>
      <c r="W37" s="70">
        <v>0.556446</v>
      </c>
      <c r="X37" s="59">
        <v>2931</v>
      </c>
      <c r="Y37" s="59">
        <v>3847</v>
      </c>
      <c r="Z37" s="70">
        <v>0.56757100000000005</v>
      </c>
      <c r="AA37" s="59">
        <v>2893</v>
      </c>
      <c r="AB37" s="59">
        <v>3886</v>
      </c>
      <c r="AC37" s="70">
        <v>0.57323999999999997</v>
      </c>
      <c r="AD37" s="59">
        <v>2854</v>
      </c>
      <c r="AE37" s="59">
        <v>3940</v>
      </c>
      <c r="AF37" s="70">
        <v>0.57992299999999997</v>
      </c>
    </row>
    <row r="38" spans="2:32" x14ac:dyDescent="0.2">
      <c r="B38" s="69" t="s">
        <v>24</v>
      </c>
      <c r="C38" s="59">
        <v>3435</v>
      </c>
      <c r="D38" s="59">
        <v>3708</v>
      </c>
      <c r="E38" s="70">
        <v>0.51910900000000004</v>
      </c>
      <c r="F38" s="59">
        <v>3455</v>
      </c>
      <c r="G38" s="59">
        <v>3677</v>
      </c>
      <c r="H38" s="70">
        <v>0.51556299999999999</v>
      </c>
      <c r="I38" s="59">
        <v>3336</v>
      </c>
      <c r="J38" s="59">
        <v>3376</v>
      </c>
      <c r="K38" s="70">
        <v>0.50297899999999995</v>
      </c>
      <c r="L38" s="59">
        <v>3299</v>
      </c>
      <c r="M38" s="59">
        <v>3251</v>
      </c>
      <c r="N38" s="70">
        <v>0.49633500000000003</v>
      </c>
      <c r="O38" s="59">
        <v>3209</v>
      </c>
      <c r="P38" s="59">
        <v>3096</v>
      </c>
      <c r="Q38" s="70">
        <v>0.49103799999999997</v>
      </c>
      <c r="R38" s="59">
        <v>3041</v>
      </c>
      <c r="S38" s="59">
        <v>2986</v>
      </c>
      <c r="T38" s="70">
        <v>0.49543700000000002</v>
      </c>
      <c r="U38" s="59">
        <v>2983</v>
      </c>
      <c r="V38" s="59">
        <v>2929</v>
      </c>
      <c r="W38" s="70">
        <v>0.49543300000000001</v>
      </c>
      <c r="X38" s="59">
        <v>2774</v>
      </c>
      <c r="Y38" s="59">
        <v>2811</v>
      </c>
      <c r="Z38" s="70">
        <v>0.50331199999999998</v>
      </c>
      <c r="AA38" s="59">
        <v>2660</v>
      </c>
      <c r="AB38" s="59">
        <v>2841</v>
      </c>
      <c r="AC38" s="70">
        <v>0.51645099999999999</v>
      </c>
      <c r="AD38" s="59">
        <v>2536</v>
      </c>
      <c r="AE38" s="59">
        <v>2750</v>
      </c>
      <c r="AF38" s="70">
        <v>0.52024199999999998</v>
      </c>
    </row>
    <row r="39" spans="2:32" x14ac:dyDescent="0.2">
      <c r="B39" s="69" t="s">
        <v>25</v>
      </c>
      <c r="C39" s="59">
        <v>3469</v>
      </c>
      <c r="D39" s="59">
        <v>4557</v>
      </c>
      <c r="E39" s="70">
        <v>0.56777900000000003</v>
      </c>
      <c r="F39" s="59">
        <v>3436</v>
      </c>
      <c r="G39" s="59">
        <v>4525</v>
      </c>
      <c r="H39" s="70">
        <v>0.56839499999999998</v>
      </c>
      <c r="I39" s="59">
        <v>3412</v>
      </c>
      <c r="J39" s="59">
        <v>4448</v>
      </c>
      <c r="K39" s="70">
        <v>0.56590300000000004</v>
      </c>
      <c r="L39" s="59">
        <v>3320</v>
      </c>
      <c r="M39" s="59">
        <v>4275</v>
      </c>
      <c r="N39" s="70">
        <v>0.56286999999999998</v>
      </c>
      <c r="O39" s="59">
        <v>3264</v>
      </c>
      <c r="P39" s="59">
        <v>4323</v>
      </c>
      <c r="Q39" s="70">
        <v>0.56979000000000002</v>
      </c>
      <c r="R39" s="59">
        <v>3252</v>
      </c>
      <c r="S39" s="59">
        <v>4331</v>
      </c>
      <c r="T39" s="70">
        <v>0.57114500000000001</v>
      </c>
      <c r="U39" s="59">
        <v>3323</v>
      </c>
      <c r="V39" s="59">
        <v>4341</v>
      </c>
      <c r="W39" s="70">
        <v>0.56641399999999997</v>
      </c>
      <c r="X39" s="59">
        <v>3307</v>
      </c>
      <c r="Y39" s="59">
        <v>4331</v>
      </c>
      <c r="Z39" s="70">
        <v>0.56703300000000001</v>
      </c>
      <c r="AA39" s="59">
        <v>3333</v>
      </c>
      <c r="AB39" s="59">
        <v>4205</v>
      </c>
      <c r="AC39" s="70">
        <v>0.55784</v>
      </c>
      <c r="AD39" s="59">
        <v>3312</v>
      </c>
      <c r="AE39" s="59">
        <v>4156</v>
      </c>
      <c r="AF39" s="70">
        <v>0.55650699999999997</v>
      </c>
    </row>
    <row r="40" spans="2:32" x14ac:dyDescent="0.2">
      <c r="B40" s="71" t="s">
        <v>26</v>
      </c>
      <c r="C40" s="62">
        <v>4967</v>
      </c>
      <c r="D40" s="62">
        <v>7265</v>
      </c>
      <c r="E40" s="72">
        <v>0.59393300000000004</v>
      </c>
      <c r="F40" s="62">
        <v>5282</v>
      </c>
      <c r="G40" s="62">
        <v>7552</v>
      </c>
      <c r="H40" s="72">
        <v>0.58843599999999996</v>
      </c>
      <c r="I40" s="62">
        <v>5422</v>
      </c>
      <c r="J40" s="62">
        <v>7875</v>
      </c>
      <c r="K40" s="72">
        <v>0.59223800000000004</v>
      </c>
      <c r="L40" s="62">
        <v>5542</v>
      </c>
      <c r="M40" s="62">
        <v>8169</v>
      </c>
      <c r="N40" s="72">
        <v>0.59579800000000005</v>
      </c>
      <c r="O40" s="62">
        <v>5547</v>
      </c>
      <c r="P40" s="62">
        <v>8297</v>
      </c>
      <c r="Q40" s="72">
        <v>0.59932099999999999</v>
      </c>
      <c r="R40" s="62">
        <v>5765</v>
      </c>
      <c r="S40" s="62">
        <v>8456</v>
      </c>
      <c r="T40" s="72">
        <v>0.59461299999999995</v>
      </c>
      <c r="U40" s="62">
        <v>5860</v>
      </c>
      <c r="V40" s="62">
        <v>8538</v>
      </c>
      <c r="W40" s="72">
        <v>0.59299900000000005</v>
      </c>
      <c r="X40" s="62">
        <v>5943</v>
      </c>
      <c r="Y40" s="62">
        <v>8538</v>
      </c>
      <c r="Z40" s="72">
        <v>0.58960000000000001</v>
      </c>
      <c r="AA40" s="62">
        <v>5977</v>
      </c>
      <c r="AB40" s="62">
        <v>8615</v>
      </c>
      <c r="AC40" s="72">
        <v>0.590391</v>
      </c>
      <c r="AD40" s="62">
        <v>5958</v>
      </c>
      <c r="AE40" s="62">
        <v>8679</v>
      </c>
      <c r="AF40" s="72">
        <v>0.59294899999999995</v>
      </c>
    </row>
    <row r="41" spans="2:32" x14ac:dyDescent="0.2">
      <c r="B41" s="20" t="s">
        <v>27</v>
      </c>
      <c r="C41" s="21">
        <f>SUBTOTAL(109,'Enrollment by Gender Trend'!$C$27:$C$40)</f>
        <v>44653</v>
      </c>
      <c r="D41" s="21">
        <f>SUBTOTAL(109,'Enrollment by Gender Trend'!$D$27:$D$40)</f>
        <v>58321</v>
      </c>
      <c r="E41" s="22">
        <f>'Enrollment by Gender Trend'!$D$41 / ('Enrollment by Gender Trend'!$D$41 + 'Enrollment by Gender Trend'!$C$41)</f>
        <v>0.56636626721308292</v>
      </c>
      <c r="F41" s="21">
        <f>SUBTOTAL(109,'Enrollment by Gender Trend'!$F$27:$F$40)</f>
        <v>44730</v>
      </c>
      <c r="G41" s="21">
        <f>SUBTOTAL(109,'Enrollment by Gender Trend'!$G$27:$G$40)</f>
        <v>58170</v>
      </c>
      <c r="H41" s="22">
        <f>'Enrollment by Gender Trend'!$G$41 / ('Enrollment by Gender Trend'!$G$41 + 'Enrollment by Gender Trend'!$F$41 )</f>
        <v>0.5653061224489796</v>
      </c>
      <c r="I41" s="21">
        <f>SUBTOTAL(109,'Enrollment by Gender Trend'!$I$27:$I$40)</f>
        <v>44003</v>
      </c>
      <c r="J41" s="21">
        <f>SUBTOTAL(109,'Enrollment by Gender Trend'!$J$27:$J$40)</f>
        <v>56564</v>
      </c>
      <c r="K41" s="22">
        <f>'Enrollment by Gender Trend'!$J$41 / ('Enrollment by Gender Trend'!$J$41 + 'Enrollment by Gender Trend'!$I$41)</f>
        <v>0.56245090337784764</v>
      </c>
      <c r="L41" s="21">
        <f>SUBTOTAL(109,'Enrollment by Gender Trend'!$L$27:$L$40)</f>
        <v>43159</v>
      </c>
      <c r="M41" s="21">
        <f>SUBTOTAL(109,'Enrollment by Gender Trend'!$M$27:$M$40)</f>
        <v>55434</v>
      </c>
      <c r="N41" s="22">
        <f>'Enrollment by Gender Trend'!$M$41 / ('Enrollment by Gender Trend'!$M$41 + 'Enrollment by Gender Trend'!$L$41)</f>
        <v>0.5622508697372024</v>
      </c>
      <c r="O41" s="21">
        <f>SUBTOTAL(109,'Enrollment by Gender Trend'!$O$27:$O$40)</f>
        <v>42087</v>
      </c>
      <c r="P41" s="21">
        <f>SUBTOTAL(109,'Enrollment by Gender Trend'!$P$27:$P$40)</f>
        <v>53919</v>
      </c>
      <c r="Q41" s="22">
        <f>'Enrollment by Gender Trend'!$P$41 / ('Enrollment by Gender Trend'!$P$41 +'Enrollment by Gender Trend'!$O$41)</f>
        <v>0.56162114867820756</v>
      </c>
      <c r="R41" s="21">
        <f>SUBTOTAL(109,'Enrollment by Gender Trend'!$R$27:$R$40)</f>
        <v>40674</v>
      </c>
      <c r="S41" s="21">
        <f>SUBTOTAL(109,'Enrollment by Gender Trend'!$S$27:$S$40)</f>
        <v>52417</v>
      </c>
      <c r="T41" s="22">
        <f>'Enrollment by Gender Trend'!$S$41 / ('Enrollment by Gender Trend'!$S$41 +'Enrollment by Gender Trend'!$R$41)</f>
        <v>0.56307269231182389</v>
      </c>
      <c r="U41" s="21">
        <f>SUBTOTAL(109,'Enrollment by Gender Trend'!$U$27:$U$40)</f>
        <v>39225</v>
      </c>
      <c r="V41" s="21">
        <f>SUBTOTAL(109,'Enrollment by Gender Trend'!$V$27:$V$40)</f>
        <v>50847</v>
      </c>
      <c r="W41" s="22">
        <f>'Enrollment by Gender Trend'!$V$41 / ('Enrollment by Gender Trend'!$V$41 +'Enrollment by Gender Trend'!$U$41)</f>
        <v>0.56451505462296825</v>
      </c>
      <c r="X41" s="21">
        <f>SUBTOTAL(109,'Enrollment by Gender Trend'!$X$27:$X$40)</f>
        <v>37903</v>
      </c>
      <c r="Y41" s="21">
        <f>SUBTOTAL(109,'Enrollment by Gender Trend'!$Y$27:$Y$40)</f>
        <v>49339</v>
      </c>
      <c r="Z41" s="22">
        <f>'Enrollment by Gender Trend'!$Y$41 / ('Enrollment by Gender Trend'!$Y$41 +'Enrollment by Gender Trend'!$X$41)</f>
        <v>0.56554182618463589</v>
      </c>
      <c r="AA41" s="21">
        <f>SUBTOTAL(109,'Enrollment by Gender Trend'!$AA$27:$AA$40)</f>
        <v>35633</v>
      </c>
      <c r="AB41" s="21">
        <f>SUBTOTAL(109,'Enrollment by Gender Trend'!$AB$27:$AB$40)</f>
        <v>47441</v>
      </c>
      <c r="AC41" s="22">
        <f>'Enrollment by Gender Trend'!$AB$41 / ('Enrollment by Gender Trend'!$AB$41 +'Enrollment by Gender Trend'!$AA$41)</f>
        <v>0.57106916724847723</v>
      </c>
      <c r="AD41" s="21">
        <f>SUBTOTAL(109,'Enrollment by Gender Trend'!$AD$27:$AD$40)</f>
        <v>33915</v>
      </c>
      <c r="AE41" s="21">
        <f>SUBTOTAL(109,'Enrollment by Gender Trend'!$AE$27:$AE$40)</f>
        <v>46511</v>
      </c>
      <c r="AF41" s="22">
        <f>'Enrollment by Gender Trend'!$AE$41 / ('Enrollment by Gender Trend'!$AE$41 +'Enrollment by Gender Trend'!$AD$41)</f>
        <v>0.5783080098475617</v>
      </c>
    </row>
    <row r="44" spans="2:32" ht="15" x14ac:dyDescent="0.2">
      <c r="B44" s="131" t="s">
        <v>157</v>
      </c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</row>
    <row r="45" spans="2:32" x14ac:dyDescent="0.2">
      <c r="B45" s="134" t="s">
        <v>1</v>
      </c>
      <c r="C45" s="133" t="str">
        <f>CONCATENATE(IF(RIGHT(Parameters!B1,1) = "1","Fall ", "Spring "),IF(RIGHT(Parameters!B1,1) = "1",LEFT(Parameters!B1,4) -9, LEFT(Parameters!B1,4) - 8))</f>
        <v>Fall 2010</v>
      </c>
      <c r="D45" s="133"/>
      <c r="E45" s="133"/>
      <c r="F45" s="133" t="str">
        <f>CONCATENATE(IF(RIGHT(Parameters!B1,1) = "1","Fall ", "Spring "),IF(RIGHT(Parameters!B1,1) = "1",LEFT(Parameters!B1,4) -8, LEFT(Parameters!B1,4) - 7))</f>
        <v>Fall 2011</v>
      </c>
      <c r="G45" s="133"/>
      <c r="H45" s="133"/>
      <c r="I45" s="133" t="str">
        <f>CONCATENATE(IF(RIGHT(Parameters!B1,1) = "1","Fall ", "Spring "),IF(RIGHT(Parameters!B1,1) = "1",LEFT(Parameters!B1,4) -7, LEFT(Parameters!B1,4) - 6))</f>
        <v>Fall 2012</v>
      </c>
      <c r="J45" s="133"/>
      <c r="K45" s="133"/>
      <c r="L45" s="133" t="str">
        <f>CONCATENATE(IF(RIGHT(Parameters!B1,1) = "1","Fall ", "Spring "),IF(RIGHT(Parameters!B1,1) = "1",LEFT(Parameters!B1,4) -6, LEFT(Parameters!B1,4) - 5))</f>
        <v>Fall 2013</v>
      </c>
      <c r="M45" s="133"/>
      <c r="N45" s="133"/>
      <c r="O45" s="133" t="str">
        <f>CONCATENATE(IF(RIGHT(Parameters!B1,1) = "1","Fall ", "Spring "),IF(RIGHT(Parameters!B1,1) = "1",LEFT(Parameters!B1,4) -5, LEFT(Parameters!B1,4) - 4))</f>
        <v>Fall 2014</v>
      </c>
      <c r="P45" s="133"/>
      <c r="Q45" s="133"/>
      <c r="R45" s="133" t="str">
        <f>CONCATENATE(IF(RIGHT(Parameters!B1,1) = "1","Fall ", "Spring "),IF(RIGHT(Parameters!B1,1) = "1",LEFT(Parameters!B1,4) -4, LEFT(Parameters!B1,4) - 3))</f>
        <v>Fall 2015</v>
      </c>
      <c r="S45" s="133"/>
      <c r="T45" s="133"/>
      <c r="U45" s="133" t="str">
        <f>CONCATENATE(IF(RIGHT(Parameters!B1,1) = "1","Fall ", "Spring "),IF(RIGHT(Parameters!B1,1) = "1",LEFT(Parameters!B1,4) -3, LEFT(Parameters!B1,4) -2 ))</f>
        <v>Fall 2016</v>
      </c>
      <c r="V45" s="133"/>
      <c r="W45" s="133"/>
      <c r="X45" s="133" t="str">
        <f>CONCATENATE(IF(RIGHT(Parameters!B1,1) = "1","Fall ", "Spring "),IF(RIGHT(Parameters!B1,1) = "1",LEFT(Parameters!B1,4) -2, LEFT(Parameters!B1,4) -1 ))</f>
        <v>Fall 2017</v>
      </c>
      <c r="Y45" s="133"/>
      <c r="Z45" s="133"/>
      <c r="AA45" s="133" t="str">
        <f>CONCATENATE(IF(RIGHT(Parameters!B1,1) = "1","Fall ", "Spring "),IF(RIGHT(Parameters!B1,1) = "1",LEFT(Parameters!B1,4) -1, LEFT(Parameters!B1,4)  ))</f>
        <v>Fall 2018</v>
      </c>
      <c r="AB45" s="133"/>
      <c r="AC45" s="133"/>
      <c r="AD45" s="133" t="str">
        <f>CONCATENATE(IF(RIGHT(Parameters!B1,1) = "1","Fall ", "Spring "),IF(RIGHT(Parameters!B1,1) = "1",LEFT(Parameters!B1,4), LEFT(Parameters!B1,4) + 1))</f>
        <v>Fall 2019</v>
      </c>
      <c r="AE45" s="133"/>
      <c r="AF45" s="133"/>
    </row>
    <row r="46" spans="2:32" ht="28.5" x14ac:dyDescent="0.2">
      <c r="B46" s="135"/>
      <c r="C46" s="54" t="s">
        <v>153</v>
      </c>
      <c r="D46" s="54" t="s">
        <v>154</v>
      </c>
      <c r="E46" s="54" t="s">
        <v>155</v>
      </c>
      <c r="F46" s="54" t="s">
        <v>153</v>
      </c>
      <c r="G46" s="54" t="s">
        <v>154</v>
      </c>
      <c r="H46" s="54" t="s">
        <v>155</v>
      </c>
      <c r="I46" s="54" t="s">
        <v>153</v>
      </c>
      <c r="J46" s="54" t="s">
        <v>154</v>
      </c>
      <c r="K46" s="54" t="s">
        <v>155</v>
      </c>
      <c r="L46" s="54" t="s">
        <v>153</v>
      </c>
      <c r="M46" s="54" t="s">
        <v>154</v>
      </c>
      <c r="N46" s="54" t="s">
        <v>155</v>
      </c>
      <c r="O46" s="54" t="s">
        <v>153</v>
      </c>
      <c r="P46" s="54" t="s">
        <v>154</v>
      </c>
      <c r="Q46" s="54" t="s">
        <v>155</v>
      </c>
      <c r="R46" s="54" t="s">
        <v>153</v>
      </c>
      <c r="S46" s="54" t="s">
        <v>154</v>
      </c>
      <c r="T46" s="54" t="s">
        <v>155</v>
      </c>
      <c r="U46" s="54" t="s">
        <v>153</v>
      </c>
      <c r="V46" s="54" t="s">
        <v>154</v>
      </c>
      <c r="W46" s="54" t="s">
        <v>155</v>
      </c>
      <c r="X46" s="54" t="s">
        <v>153</v>
      </c>
      <c r="Y46" s="54" t="s">
        <v>154</v>
      </c>
      <c r="Z46" s="54" t="s">
        <v>155</v>
      </c>
      <c r="AA46" s="54" t="s">
        <v>153</v>
      </c>
      <c r="AB46" s="54" t="s">
        <v>154</v>
      </c>
      <c r="AC46" s="54" t="s">
        <v>155</v>
      </c>
      <c r="AD46" s="54" t="s">
        <v>153</v>
      </c>
      <c r="AE46" s="54" t="s">
        <v>154</v>
      </c>
      <c r="AF46" s="54" t="s">
        <v>155</v>
      </c>
    </row>
    <row r="47" spans="2:32" ht="17.25" hidden="1" customHeight="1" thickBot="1" x14ac:dyDescent="0.25">
      <c r="B47" s="26" t="s">
        <v>2</v>
      </c>
      <c r="C47" s="26" t="s">
        <v>84</v>
      </c>
      <c r="D47" s="26" t="s">
        <v>85</v>
      </c>
      <c r="E47" s="26" t="s">
        <v>86</v>
      </c>
      <c r="F47" s="26" t="s">
        <v>87</v>
      </c>
      <c r="G47" s="26" t="s">
        <v>88</v>
      </c>
      <c r="H47" s="26" t="s">
        <v>89</v>
      </c>
      <c r="I47" s="26" t="s">
        <v>90</v>
      </c>
      <c r="J47" s="26" t="s">
        <v>91</v>
      </c>
      <c r="K47" s="26" t="s">
        <v>92</v>
      </c>
      <c r="L47" s="26" t="s">
        <v>93</v>
      </c>
      <c r="M47" s="26" t="s">
        <v>94</v>
      </c>
      <c r="N47" s="26" t="s">
        <v>95</v>
      </c>
      <c r="O47" s="26" t="s">
        <v>96</v>
      </c>
      <c r="P47" s="26" t="s">
        <v>97</v>
      </c>
      <c r="Q47" s="26" t="s">
        <v>98</v>
      </c>
      <c r="R47" s="26" t="s">
        <v>99</v>
      </c>
      <c r="S47" s="26" t="s">
        <v>100</v>
      </c>
      <c r="T47" s="26" t="s">
        <v>101</v>
      </c>
      <c r="U47" s="26" t="s">
        <v>102</v>
      </c>
      <c r="V47" s="26" t="s">
        <v>103</v>
      </c>
      <c r="W47" s="26" t="s">
        <v>104</v>
      </c>
      <c r="X47" s="26" t="s">
        <v>105</v>
      </c>
      <c r="Y47" s="26" t="s">
        <v>106</v>
      </c>
      <c r="Z47" s="26" t="s">
        <v>107</v>
      </c>
      <c r="AA47" s="26" t="s">
        <v>108</v>
      </c>
      <c r="AB47" s="26" t="s">
        <v>109</v>
      </c>
      <c r="AC47" s="26" t="s">
        <v>110</v>
      </c>
      <c r="AD47" s="26" t="s">
        <v>111</v>
      </c>
      <c r="AE47" s="26" t="s">
        <v>112</v>
      </c>
      <c r="AF47" s="26" t="s">
        <v>113</v>
      </c>
    </row>
    <row r="48" spans="2:32" x14ac:dyDescent="0.2">
      <c r="B48" s="67" t="s">
        <v>13</v>
      </c>
      <c r="C48" s="57">
        <v>277</v>
      </c>
      <c r="D48" s="57">
        <v>678</v>
      </c>
      <c r="E48" s="68">
        <v>0.70994699999999999</v>
      </c>
      <c r="F48" s="57">
        <v>291</v>
      </c>
      <c r="G48" s="57">
        <v>612</v>
      </c>
      <c r="H48" s="68">
        <v>0.67774000000000001</v>
      </c>
      <c r="I48" s="57">
        <v>236</v>
      </c>
      <c r="J48" s="57">
        <v>511</v>
      </c>
      <c r="K48" s="68">
        <v>0.68406900000000004</v>
      </c>
      <c r="L48" s="57">
        <v>196</v>
      </c>
      <c r="M48" s="57">
        <v>515</v>
      </c>
      <c r="N48" s="68">
        <v>0.72433099999999995</v>
      </c>
      <c r="O48" s="57">
        <v>200</v>
      </c>
      <c r="P48" s="57">
        <v>479</v>
      </c>
      <c r="Q48" s="68">
        <v>0.70544899999999999</v>
      </c>
      <c r="R48" s="57">
        <v>176</v>
      </c>
      <c r="S48" s="57">
        <v>443</v>
      </c>
      <c r="T48" s="68">
        <v>0.71567000000000003</v>
      </c>
      <c r="U48" s="57">
        <v>207</v>
      </c>
      <c r="V48" s="57">
        <v>456</v>
      </c>
      <c r="W48" s="68">
        <v>0.687782</v>
      </c>
      <c r="X48" s="57">
        <v>195</v>
      </c>
      <c r="Y48" s="57">
        <v>486</v>
      </c>
      <c r="Z48" s="68">
        <v>0.71365599999999996</v>
      </c>
      <c r="AA48" s="57">
        <v>182</v>
      </c>
      <c r="AB48" s="57">
        <v>489</v>
      </c>
      <c r="AC48" s="68">
        <v>0.72876300000000005</v>
      </c>
      <c r="AD48" s="57">
        <v>215</v>
      </c>
      <c r="AE48" s="57">
        <v>482</v>
      </c>
      <c r="AF48" s="68">
        <v>0.69153500000000001</v>
      </c>
    </row>
    <row r="49" spans="2:32" x14ac:dyDescent="0.2">
      <c r="B49" s="69" t="s">
        <v>14</v>
      </c>
      <c r="C49" s="59">
        <v>768</v>
      </c>
      <c r="D49" s="59">
        <v>1213</v>
      </c>
      <c r="E49" s="70">
        <v>0.612317</v>
      </c>
      <c r="F49" s="59">
        <v>811</v>
      </c>
      <c r="G49" s="59">
        <v>1255</v>
      </c>
      <c r="H49" s="70">
        <v>0.60745400000000005</v>
      </c>
      <c r="I49" s="59">
        <v>746</v>
      </c>
      <c r="J49" s="59">
        <v>1181</v>
      </c>
      <c r="K49" s="70">
        <v>0.612869</v>
      </c>
      <c r="L49" s="59">
        <v>684</v>
      </c>
      <c r="M49" s="59">
        <v>1109</v>
      </c>
      <c r="N49" s="70">
        <v>0.61851599999999995</v>
      </c>
      <c r="O49" s="59">
        <v>691</v>
      </c>
      <c r="P49" s="59">
        <v>1211</v>
      </c>
      <c r="Q49" s="70">
        <v>0.63669799999999999</v>
      </c>
      <c r="R49" s="59">
        <v>764</v>
      </c>
      <c r="S49" s="59">
        <v>1305</v>
      </c>
      <c r="T49" s="70">
        <v>0.63073900000000005</v>
      </c>
      <c r="U49" s="59">
        <v>749</v>
      </c>
      <c r="V49" s="59">
        <v>1282</v>
      </c>
      <c r="W49" s="70">
        <v>0.631216</v>
      </c>
      <c r="X49" s="59">
        <v>807</v>
      </c>
      <c r="Y49" s="59">
        <v>1424</v>
      </c>
      <c r="Z49" s="70">
        <v>0.63827800000000001</v>
      </c>
      <c r="AA49" s="59">
        <v>766</v>
      </c>
      <c r="AB49" s="59">
        <v>1372</v>
      </c>
      <c r="AC49" s="70">
        <v>0.64172099999999999</v>
      </c>
      <c r="AD49" s="59">
        <v>677</v>
      </c>
      <c r="AE49" s="59">
        <v>1309</v>
      </c>
      <c r="AF49" s="70">
        <v>0.65911299999999995</v>
      </c>
    </row>
    <row r="50" spans="2:32" x14ac:dyDescent="0.2">
      <c r="B50" s="69" t="s">
        <v>15</v>
      </c>
      <c r="C50" s="59">
        <v>24</v>
      </c>
      <c r="D50" s="59">
        <v>54</v>
      </c>
      <c r="E50" s="70">
        <v>0.69230700000000001</v>
      </c>
      <c r="F50" s="59">
        <v>20</v>
      </c>
      <c r="G50" s="59">
        <v>39</v>
      </c>
      <c r="H50" s="70">
        <v>0.66101600000000005</v>
      </c>
      <c r="I50" s="59">
        <v>21</v>
      </c>
      <c r="J50" s="59">
        <v>39</v>
      </c>
      <c r="K50" s="70">
        <v>0.64999899999999999</v>
      </c>
      <c r="L50" s="59">
        <v>14</v>
      </c>
      <c r="M50" s="59">
        <v>19</v>
      </c>
      <c r="N50" s="70">
        <v>0.57575699999999996</v>
      </c>
      <c r="O50" s="59">
        <v>10</v>
      </c>
      <c r="P50" s="59">
        <v>15</v>
      </c>
      <c r="Q50" s="70">
        <v>0.59999899999999995</v>
      </c>
      <c r="R50" s="59">
        <v>10</v>
      </c>
      <c r="S50" s="59">
        <v>15</v>
      </c>
      <c r="T50" s="70">
        <v>0.59999899999999995</v>
      </c>
      <c r="U50" s="59">
        <v>11</v>
      </c>
      <c r="V50" s="59">
        <v>26</v>
      </c>
      <c r="W50" s="70">
        <v>0.70270200000000005</v>
      </c>
      <c r="X50" s="59">
        <v>9</v>
      </c>
      <c r="Y50" s="59">
        <v>23</v>
      </c>
      <c r="Z50" s="70">
        <v>0.71874899999999997</v>
      </c>
      <c r="AA50" s="59">
        <v>0</v>
      </c>
      <c r="AB50" s="59">
        <v>0</v>
      </c>
      <c r="AC50" s="70">
        <v>0</v>
      </c>
      <c r="AD50" s="59">
        <v>0</v>
      </c>
      <c r="AE50" s="59">
        <v>0</v>
      </c>
      <c r="AF50" s="70">
        <v>0</v>
      </c>
    </row>
    <row r="51" spans="2:32" x14ac:dyDescent="0.2">
      <c r="B51" s="69" t="s">
        <v>16</v>
      </c>
      <c r="C51" s="59">
        <v>231</v>
      </c>
      <c r="D51" s="59">
        <v>859</v>
      </c>
      <c r="E51" s="70">
        <v>0.78807300000000002</v>
      </c>
      <c r="F51" s="59">
        <v>224</v>
      </c>
      <c r="G51" s="59">
        <v>891</v>
      </c>
      <c r="H51" s="70">
        <v>0.79910300000000001</v>
      </c>
      <c r="I51" s="59">
        <v>216</v>
      </c>
      <c r="J51" s="59">
        <v>786</v>
      </c>
      <c r="K51" s="70">
        <v>0.78443099999999999</v>
      </c>
      <c r="L51" s="59">
        <v>194</v>
      </c>
      <c r="M51" s="59">
        <v>687</v>
      </c>
      <c r="N51" s="70">
        <v>0.77979500000000002</v>
      </c>
      <c r="O51" s="59">
        <v>159</v>
      </c>
      <c r="P51" s="59">
        <v>647</v>
      </c>
      <c r="Q51" s="70">
        <v>0.80272900000000003</v>
      </c>
      <c r="R51" s="59">
        <v>176</v>
      </c>
      <c r="S51" s="59">
        <v>637</v>
      </c>
      <c r="T51" s="70">
        <v>0.78351700000000002</v>
      </c>
      <c r="U51" s="59">
        <v>192</v>
      </c>
      <c r="V51" s="59">
        <v>702</v>
      </c>
      <c r="W51" s="70">
        <v>0.78523399999999999</v>
      </c>
      <c r="X51" s="59">
        <v>190</v>
      </c>
      <c r="Y51" s="59">
        <v>714</v>
      </c>
      <c r="Z51" s="70">
        <v>0.78982300000000005</v>
      </c>
      <c r="AA51" s="59">
        <v>186</v>
      </c>
      <c r="AB51" s="59">
        <v>741</v>
      </c>
      <c r="AC51" s="70">
        <v>0.79935199999999995</v>
      </c>
      <c r="AD51" s="59">
        <v>185</v>
      </c>
      <c r="AE51" s="59">
        <v>742</v>
      </c>
      <c r="AF51" s="70">
        <v>0.800431</v>
      </c>
    </row>
    <row r="52" spans="2:32" x14ac:dyDescent="0.2">
      <c r="B52" s="69" t="s">
        <v>17</v>
      </c>
      <c r="C52" s="59">
        <v>298</v>
      </c>
      <c r="D52" s="59">
        <v>717</v>
      </c>
      <c r="E52" s="70">
        <v>0.706403</v>
      </c>
      <c r="F52" s="59">
        <v>254</v>
      </c>
      <c r="G52" s="59">
        <v>443</v>
      </c>
      <c r="H52" s="70">
        <v>0.63558099999999995</v>
      </c>
      <c r="I52" s="59">
        <v>227</v>
      </c>
      <c r="J52" s="59">
        <v>361</v>
      </c>
      <c r="K52" s="70">
        <v>0.61394499999999996</v>
      </c>
      <c r="L52" s="59">
        <v>224</v>
      </c>
      <c r="M52" s="59">
        <v>368</v>
      </c>
      <c r="N52" s="70">
        <v>0.62162099999999998</v>
      </c>
      <c r="O52" s="59">
        <v>233</v>
      </c>
      <c r="P52" s="59">
        <v>383</v>
      </c>
      <c r="Q52" s="70">
        <v>0.621753</v>
      </c>
      <c r="R52" s="59">
        <v>239</v>
      </c>
      <c r="S52" s="59">
        <v>422</v>
      </c>
      <c r="T52" s="70">
        <v>0.63842600000000005</v>
      </c>
      <c r="U52" s="59">
        <v>231</v>
      </c>
      <c r="V52" s="59">
        <v>440</v>
      </c>
      <c r="W52" s="70">
        <v>0.65573700000000001</v>
      </c>
      <c r="X52" s="59">
        <v>222</v>
      </c>
      <c r="Y52" s="59">
        <v>469</v>
      </c>
      <c r="Z52" s="70">
        <v>0.67872600000000005</v>
      </c>
      <c r="AA52" s="59">
        <v>221</v>
      </c>
      <c r="AB52" s="59">
        <v>491</v>
      </c>
      <c r="AC52" s="70">
        <v>0.68960600000000005</v>
      </c>
      <c r="AD52" s="59">
        <v>235</v>
      </c>
      <c r="AE52" s="59">
        <v>562</v>
      </c>
      <c r="AF52" s="70">
        <v>0.70514399999999999</v>
      </c>
    </row>
    <row r="53" spans="2:32" x14ac:dyDescent="0.2">
      <c r="B53" s="69" t="s">
        <v>18</v>
      </c>
      <c r="C53" s="59">
        <v>461</v>
      </c>
      <c r="D53" s="59">
        <v>1484</v>
      </c>
      <c r="E53" s="70">
        <v>0.76298200000000005</v>
      </c>
      <c r="F53" s="59">
        <v>384</v>
      </c>
      <c r="G53" s="59">
        <v>1229</v>
      </c>
      <c r="H53" s="70">
        <v>0.761934</v>
      </c>
      <c r="I53" s="59">
        <v>315</v>
      </c>
      <c r="J53" s="59">
        <v>1057</v>
      </c>
      <c r="K53" s="70">
        <v>0.77040799999999998</v>
      </c>
      <c r="L53" s="59">
        <v>293</v>
      </c>
      <c r="M53" s="59">
        <v>941</v>
      </c>
      <c r="N53" s="70">
        <v>0.76256000000000002</v>
      </c>
      <c r="O53" s="59">
        <v>265</v>
      </c>
      <c r="P53" s="59">
        <v>977</v>
      </c>
      <c r="Q53" s="70">
        <v>0.78663400000000006</v>
      </c>
      <c r="R53" s="59">
        <v>290</v>
      </c>
      <c r="S53" s="59">
        <v>1013</v>
      </c>
      <c r="T53" s="70">
        <v>0.77743600000000002</v>
      </c>
      <c r="U53" s="59">
        <v>315</v>
      </c>
      <c r="V53" s="59">
        <v>1026</v>
      </c>
      <c r="W53" s="70">
        <v>0.7651</v>
      </c>
      <c r="X53" s="59">
        <v>278</v>
      </c>
      <c r="Y53" s="59">
        <v>1006</v>
      </c>
      <c r="Z53" s="70">
        <v>0.78348899999999999</v>
      </c>
      <c r="AA53" s="59">
        <v>231</v>
      </c>
      <c r="AB53" s="59">
        <v>1031</v>
      </c>
      <c r="AC53" s="70">
        <v>0.81695700000000004</v>
      </c>
      <c r="AD53" s="59">
        <v>217</v>
      </c>
      <c r="AE53" s="59">
        <v>1030</v>
      </c>
      <c r="AF53" s="70">
        <v>0.82598199999999999</v>
      </c>
    </row>
    <row r="54" spans="2:32" x14ac:dyDescent="0.2">
      <c r="B54" s="69" t="s">
        <v>19</v>
      </c>
      <c r="C54" s="59">
        <v>914</v>
      </c>
      <c r="D54" s="59">
        <v>1385</v>
      </c>
      <c r="E54" s="70">
        <v>0.60243500000000005</v>
      </c>
      <c r="F54" s="59">
        <v>870</v>
      </c>
      <c r="G54" s="59">
        <v>1319</v>
      </c>
      <c r="H54" s="70">
        <v>0.60255800000000004</v>
      </c>
      <c r="I54" s="59">
        <v>929</v>
      </c>
      <c r="J54" s="59">
        <v>1392</v>
      </c>
      <c r="K54" s="70">
        <v>0.59974099999999997</v>
      </c>
      <c r="L54" s="59">
        <v>925</v>
      </c>
      <c r="M54" s="59">
        <v>1332</v>
      </c>
      <c r="N54" s="70">
        <v>0.59016299999999999</v>
      </c>
      <c r="O54" s="59">
        <v>938</v>
      </c>
      <c r="P54" s="59">
        <v>1301</v>
      </c>
      <c r="Q54" s="70">
        <v>0.58106199999999997</v>
      </c>
      <c r="R54" s="59">
        <v>909</v>
      </c>
      <c r="S54" s="59">
        <v>1329</v>
      </c>
      <c r="T54" s="70">
        <v>0.59383300000000006</v>
      </c>
      <c r="U54" s="59">
        <v>887</v>
      </c>
      <c r="V54" s="59">
        <v>1348</v>
      </c>
      <c r="W54" s="70">
        <v>0.60313099999999997</v>
      </c>
      <c r="X54" s="59">
        <v>851</v>
      </c>
      <c r="Y54" s="59">
        <v>1322</v>
      </c>
      <c r="Z54" s="70">
        <v>0.608375</v>
      </c>
      <c r="AA54" s="59">
        <v>799</v>
      </c>
      <c r="AB54" s="59">
        <v>1311</v>
      </c>
      <c r="AC54" s="70">
        <v>0.62132699999999996</v>
      </c>
      <c r="AD54" s="59">
        <v>783</v>
      </c>
      <c r="AE54" s="59">
        <v>1286</v>
      </c>
      <c r="AF54" s="70">
        <v>0.621556</v>
      </c>
    </row>
    <row r="55" spans="2:32" x14ac:dyDescent="0.2">
      <c r="B55" s="69" t="s">
        <v>20</v>
      </c>
      <c r="C55" s="59">
        <v>292</v>
      </c>
      <c r="D55" s="59">
        <v>690</v>
      </c>
      <c r="E55" s="70">
        <v>0.70264700000000002</v>
      </c>
      <c r="F55" s="59">
        <v>227</v>
      </c>
      <c r="G55" s="59">
        <v>570</v>
      </c>
      <c r="H55" s="70">
        <v>0.71518099999999996</v>
      </c>
      <c r="I55" s="59">
        <v>193</v>
      </c>
      <c r="J55" s="59">
        <v>476</v>
      </c>
      <c r="K55" s="70">
        <v>0.71150899999999995</v>
      </c>
      <c r="L55" s="59">
        <v>180</v>
      </c>
      <c r="M55" s="59">
        <v>518</v>
      </c>
      <c r="N55" s="70">
        <v>0.74212</v>
      </c>
      <c r="O55" s="59">
        <v>144</v>
      </c>
      <c r="P55" s="59">
        <v>512</v>
      </c>
      <c r="Q55" s="70">
        <v>0.78048700000000004</v>
      </c>
      <c r="R55" s="59">
        <v>155</v>
      </c>
      <c r="S55" s="59">
        <v>552</v>
      </c>
      <c r="T55" s="70">
        <v>0.78076299999999998</v>
      </c>
      <c r="U55" s="59">
        <v>185</v>
      </c>
      <c r="V55" s="59">
        <v>610</v>
      </c>
      <c r="W55" s="70">
        <v>0.76729499999999995</v>
      </c>
      <c r="X55" s="59">
        <v>201</v>
      </c>
      <c r="Y55" s="59">
        <v>639</v>
      </c>
      <c r="Z55" s="70">
        <v>0.760714</v>
      </c>
      <c r="AA55" s="59">
        <v>218</v>
      </c>
      <c r="AB55" s="59">
        <v>700</v>
      </c>
      <c r="AC55" s="70">
        <v>0.76252699999999995</v>
      </c>
      <c r="AD55" s="59">
        <v>215</v>
      </c>
      <c r="AE55" s="59">
        <v>780</v>
      </c>
      <c r="AF55" s="70">
        <v>0.78391900000000003</v>
      </c>
    </row>
    <row r="56" spans="2:32" x14ac:dyDescent="0.2">
      <c r="B56" s="69" t="s">
        <v>21</v>
      </c>
      <c r="C56" s="59">
        <v>92</v>
      </c>
      <c r="D56" s="59">
        <v>244</v>
      </c>
      <c r="E56" s="70">
        <v>0.72619</v>
      </c>
      <c r="F56" s="59">
        <v>95</v>
      </c>
      <c r="G56" s="59">
        <v>242</v>
      </c>
      <c r="H56" s="70">
        <v>0.71809999999999996</v>
      </c>
      <c r="I56" s="59">
        <v>110</v>
      </c>
      <c r="J56" s="59">
        <v>249</v>
      </c>
      <c r="K56" s="70">
        <v>0.69359300000000002</v>
      </c>
      <c r="L56" s="59">
        <v>110</v>
      </c>
      <c r="M56" s="59">
        <v>295</v>
      </c>
      <c r="N56" s="70">
        <v>0.72839500000000001</v>
      </c>
      <c r="O56" s="59">
        <v>100</v>
      </c>
      <c r="P56" s="59">
        <v>296</v>
      </c>
      <c r="Q56" s="70">
        <v>0.74747399999999997</v>
      </c>
      <c r="R56" s="59">
        <v>97</v>
      </c>
      <c r="S56" s="59">
        <v>290</v>
      </c>
      <c r="T56" s="70">
        <v>0.74935399999999996</v>
      </c>
      <c r="U56" s="59">
        <v>94</v>
      </c>
      <c r="V56" s="59">
        <v>281</v>
      </c>
      <c r="W56" s="70">
        <v>0.74933300000000003</v>
      </c>
      <c r="X56" s="59">
        <v>91</v>
      </c>
      <c r="Y56" s="59">
        <v>264</v>
      </c>
      <c r="Z56" s="70">
        <v>0.74366100000000002</v>
      </c>
      <c r="AA56" s="59">
        <v>97</v>
      </c>
      <c r="AB56" s="59">
        <v>261</v>
      </c>
      <c r="AC56" s="70">
        <v>0.72904999999999998</v>
      </c>
      <c r="AD56" s="59">
        <v>121</v>
      </c>
      <c r="AE56" s="59">
        <v>289</v>
      </c>
      <c r="AF56" s="70">
        <v>0.704878</v>
      </c>
    </row>
    <row r="57" spans="2:32" x14ac:dyDescent="0.2">
      <c r="B57" s="69" t="s">
        <v>22</v>
      </c>
      <c r="C57" s="59">
        <v>72</v>
      </c>
      <c r="D57" s="59">
        <v>394</v>
      </c>
      <c r="E57" s="70">
        <v>0.84549300000000005</v>
      </c>
      <c r="F57" s="59">
        <v>67</v>
      </c>
      <c r="G57" s="59">
        <v>332</v>
      </c>
      <c r="H57" s="70">
        <v>0.83208000000000004</v>
      </c>
      <c r="I57" s="59">
        <v>52</v>
      </c>
      <c r="J57" s="59">
        <v>255</v>
      </c>
      <c r="K57" s="70">
        <v>0.83061799999999997</v>
      </c>
      <c r="L57" s="59">
        <v>47</v>
      </c>
      <c r="M57" s="59">
        <v>206</v>
      </c>
      <c r="N57" s="70">
        <v>0.81422899999999998</v>
      </c>
      <c r="O57" s="59">
        <v>32</v>
      </c>
      <c r="P57" s="59">
        <v>133</v>
      </c>
      <c r="Q57" s="70">
        <v>0.80606</v>
      </c>
      <c r="R57" s="59">
        <v>24</v>
      </c>
      <c r="S57" s="59">
        <v>97</v>
      </c>
      <c r="T57" s="70">
        <v>0.80165200000000003</v>
      </c>
      <c r="U57" s="59">
        <v>14</v>
      </c>
      <c r="V57" s="59">
        <v>72</v>
      </c>
      <c r="W57" s="70">
        <v>0.83720899999999998</v>
      </c>
      <c r="X57" s="59">
        <v>8</v>
      </c>
      <c r="Y57" s="59">
        <v>53</v>
      </c>
      <c r="Z57" s="70">
        <v>0.86885199999999996</v>
      </c>
      <c r="AA57" s="59">
        <v>3</v>
      </c>
      <c r="AB57" s="59">
        <v>35</v>
      </c>
      <c r="AC57" s="70">
        <v>0.92105199999999998</v>
      </c>
      <c r="AD57" s="59">
        <v>2</v>
      </c>
      <c r="AE57" s="59">
        <v>21</v>
      </c>
      <c r="AF57" s="70">
        <v>0.91304300000000005</v>
      </c>
    </row>
    <row r="58" spans="2:32" x14ac:dyDescent="0.2">
      <c r="B58" s="69" t="s">
        <v>23</v>
      </c>
      <c r="C58" s="59">
        <v>297</v>
      </c>
      <c r="D58" s="59">
        <v>828</v>
      </c>
      <c r="E58" s="70">
        <v>0.73599899999999996</v>
      </c>
      <c r="F58" s="59">
        <v>263</v>
      </c>
      <c r="G58" s="59">
        <v>818</v>
      </c>
      <c r="H58" s="70">
        <v>0.75670599999999999</v>
      </c>
      <c r="I58" s="59">
        <v>254</v>
      </c>
      <c r="J58" s="59">
        <v>690</v>
      </c>
      <c r="K58" s="70">
        <v>0.73093200000000003</v>
      </c>
      <c r="L58" s="59">
        <v>239</v>
      </c>
      <c r="M58" s="59">
        <v>652</v>
      </c>
      <c r="N58" s="70">
        <v>0.73176200000000002</v>
      </c>
      <c r="O58" s="59">
        <v>231</v>
      </c>
      <c r="P58" s="59">
        <v>645</v>
      </c>
      <c r="Q58" s="70">
        <v>0.73630099999999998</v>
      </c>
      <c r="R58" s="59">
        <v>240</v>
      </c>
      <c r="S58" s="59">
        <v>664</v>
      </c>
      <c r="T58" s="70">
        <v>0.73451299999999997</v>
      </c>
      <c r="U58" s="59">
        <v>233</v>
      </c>
      <c r="V58" s="59">
        <v>714</v>
      </c>
      <c r="W58" s="70">
        <v>0.75395900000000005</v>
      </c>
      <c r="X58" s="59">
        <v>249</v>
      </c>
      <c r="Y58" s="59">
        <v>721</v>
      </c>
      <c r="Z58" s="70">
        <v>0.74329800000000001</v>
      </c>
      <c r="AA58" s="59">
        <v>272</v>
      </c>
      <c r="AB58" s="59">
        <v>730</v>
      </c>
      <c r="AC58" s="70">
        <v>0.72854200000000002</v>
      </c>
      <c r="AD58" s="59">
        <v>289</v>
      </c>
      <c r="AE58" s="59">
        <v>734</v>
      </c>
      <c r="AF58" s="70">
        <v>0.71749700000000005</v>
      </c>
    </row>
    <row r="59" spans="2:32" x14ac:dyDescent="0.2">
      <c r="B59" s="69" t="s">
        <v>24</v>
      </c>
      <c r="C59" s="59">
        <v>381</v>
      </c>
      <c r="D59" s="59">
        <v>802</v>
      </c>
      <c r="E59" s="70">
        <v>0.67793700000000001</v>
      </c>
      <c r="F59" s="59">
        <v>339</v>
      </c>
      <c r="G59" s="59">
        <v>712</v>
      </c>
      <c r="H59" s="70">
        <v>0.67745</v>
      </c>
      <c r="I59" s="59">
        <v>392</v>
      </c>
      <c r="J59" s="59">
        <v>620</v>
      </c>
      <c r="K59" s="70">
        <v>0.61264799999999997</v>
      </c>
      <c r="L59" s="59">
        <v>401</v>
      </c>
      <c r="M59" s="59">
        <v>597</v>
      </c>
      <c r="N59" s="70">
        <v>0.59819599999999995</v>
      </c>
      <c r="O59" s="59">
        <v>406</v>
      </c>
      <c r="P59" s="59">
        <v>644</v>
      </c>
      <c r="Q59" s="70">
        <v>0.61333300000000002</v>
      </c>
      <c r="R59" s="59">
        <v>409</v>
      </c>
      <c r="S59" s="59">
        <v>622</v>
      </c>
      <c r="T59" s="70">
        <v>0.60329699999999997</v>
      </c>
      <c r="U59" s="59">
        <v>450</v>
      </c>
      <c r="V59" s="59">
        <v>627</v>
      </c>
      <c r="W59" s="70">
        <v>0.58217200000000002</v>
      </c>
      <c r="X59" s="59">
        <v>405</v>
      </c>
      <c r="Y59" s="59">
        <v>591</v>
      </c>
      <c r="Z59" s="70">
        <v>0.59337300000000004</v>
      </c>
      <c r="AA59" s="59">
        <v>335</v>
      </c>
      <c r="AB59" s="59">
        <v>572</v>
      </c>
      <c r="AC59" s="70">
        <v>0.63065000000000004</v>
      </c>
      <c r="AD59" s="59">
        <v>291</v>
      </c>
      <c r="AE59" s="59">
        <v>519</v>
      </c>
      <c r="AF59" s="70">
        <v>0.64073999999999998</v>
      </c>
    </row>
    <row r="60" spans="2:32" x14ac:dyDescent="0.2">
      <c r="B60" s="69" t="s">
        <v>25</v>
      </c>
      <c r="C60" s="59">
        <v>268</v>
      </c>
      <c r="D60" s="59">
        <v>558</v>
      </c>
      <c r="E60" s="70">
        <v>0.67554400000000003</v>
      </c>
      <c r="F60" s="59">
        <v>228</v>
      </c>
      <c r="G60" s="59">
        <v>523</v>
      </c>
      <c r="H60" s="70">
        <v>0.69640400000000002</v>
      </c>
      <c r="I60" s="59">
        <v>196</v>
      </c>
      <c r="J60" s="59">
        <v>503</v>
      </c>
      <c r="K60" s="70">
        <v>0.71959899999999999</v>
      </c>
      <c r="L60" s="59">
        <v>209</v>
      </c>
      <c r="M60" s="59">
        <v>543</v>
      </c>
      <c r="N60" s="70">
        <v>0.72207399999999999</v>
      </c>
      <c r="O60" s="59">
        <v>245</v>
      </c>
      <c r="P60" s="59">
        <v>663</v>
      </c>
      <c r="Q60" s="70">
        <v>0.73017600000000005</v>
      </c>
      <c r="R60" s="59">
        <v>251</v>
      </c>
      <c r="S60" s="59">
        <v>794</v>
      </c>
      <c r="T60" s="70">
        <v>0.75980800000000004</v>
      </c>
      <c r="U60" s="59">
        <v>299</v>
      </c>
      <c r="V60" s="59">
        <v>918</v>
      </c>
      <c r="W60" s="70">
        <v>0.75431300000000001</v>
      </c>
      <c r="X60" s="59">
        <v>332</v>
      </c>
      <c r="Y60" s="59">
        <v>925</v>
      </c>
      <c r="Z60" s="70">
        <v>0.73587899999999995</v>
      </c>
      <c r="AA60" s="59">
        <v>320</v>
      </c>
      <c r="AB60" s="59">
        <v>966</v>
      </c>
      <c r="AC60" s="70">
        <v>0.751166</v>
      </c>
      <c r="AD60" s="59">
        <v>328</v>
      </c>
      <c r="AE60" s="59">
        <v>1010</v>
      </c>
      <c r="AF60" s="70">
        <v>0.754857</v>
      </c>
    </row>
    <row r="61" spans="2:32" x14ac:dyDescent="0.2">
      <c r="B61" s="71" t="s">
        <v>26</v>
      </c>
      <c r="C61" s="62">
        <v>647</v>
      </c>
      <c r="D61" s="62">
        <v>1611</v>
      </c>
      <c r="E61" s="72">
        <v>0.71346299999999996</v>
      </c>
      <c r="F61" s="62">
        <v>660</v>
      </c>
      <c r="G61" s="62">
        <v>1606</v>
      </c>
      <c r="H61" s="72">
        <v>0.70873699999999995</v>
      </c>
      <c r="I61" s="62">
        <v>646</v>
      </c>
      <c r="J61" s="62">
        <v>1468</v>
      </c>
      <c r="K61" s="72">
        <v>0.69441799999999998</v>
      </c>
      <c r="L61" s="62">
        <v>667</v>
      </c>
      <c r="M61" s="62">
        <v>1467</v>
      </c>
      <c r="N61" s="72">
        <v>0.68744099999999997</v>
      </c>
      <c r="O61" s="62">
        <v>721</v>
      </c>
      <c r="P61" s="62">
        <v>1521</v>
      </c>
      <c r="Q61" s="72">
        <v>0.67841200000000002</v>
      </c>
      <c r="R61" s="62">
        <v>679</v>
      </c>
      <c r="S61" s="62">
        <v>1706</v>
      </c>
      <c r="T61" s="72">
        <v>0.71530300000000002</v>
      </c>
      <c r="U61" s="62">
        <v>783</v>
      </c>
      <c r="V61" s="62">
        <v>1825</v>
      </c>
      <c r="W61" s="72">
        <v>0.69976899999999997</v>
      </c>
      <c r="X61" s="62">
        <v>929</v>
      </c>
      <c r="Y61" s="62">
        <v>1926</v>
      </c>
      <c r="Z61" s="72">
        <v>0.67460500000000001</v>
      </c>
      <c r="AA61" s="62">
        <v>973</v>
      </c>
      <c r="AB61" s="62">
        <v>1987</v>
      </c>
      <c r="AC61" s="72">
        <v>0.67128299999999996</v>
      </c>
      <c r="AD61" s="62">
        <v>929</v>
      </c>
      <c r="AE61" s="62">
        <v>2125</v>
      </c>
      <c r="AF61" s="72">
        <v>0.69580799999999998</v>
      </c>
    </row>
    <row r="62" spans="2:32" x14ac:dyDescent="0.2">
      <c r="B62" s="20" t="s">
        <v>27</v>
      </c>
      <c r="C62" s="21">
        <f>SUBTOTAL(109,'Enrollment by Gender Trend'!$C$48:$C$61)</f>
        <v>5022</v>
      </c>
      <c r="D62" s="21">
        <f>SUBTOTAL(109,'Enrollment by Gender Trend'!$D$48:$D$61)</f>
        <v>11517</v>
      </c>
      <c r="E62" s="22">
        <f>'Enrollment by Gender Trend'!$D$62 / ('Enrollment by Gender Trend'!$D$62 + 'Enrollment by Gender Trend'!$C$62)</f>
        <v>0.69635407219299839</v>
      </c>
      <c r="F62" s="21">
        <f>SUBTOTAL(109,'Enrollment by Gender Trend'!$F$48:$F$61)</f>
        <v>4733</v>
      </c>
      <c r="G62" s="21">
        <f>SUBTOTAL(109,'Enrollment by Gender Trend'!$G$48:$G$61)</f>
        <v>10591</v>
      </c>
      <c r="H62" s="22">
        <f>'Enrollment by Gender Trend'!$G$62 / ('Enrollment by Gender Trend'!$G$62 +'Enrollment by Gender Trend'!$F$62)</f>
        <v>0.69113808405116162</v>
      </c>
      <c r="I62" s="21">
        <f>SUBTOTAL(109,'Enrollment by Gender Trend'!$I$48:$I$61)</f>
        <v>4533</v>
      </c>
      <c r="J62" s="21">
        <f>SUBTOTAL(109,'Enrollment by Gender Trend'!$J$48:$J$61)</f>
        <v>9588</v>
      </c>
      <c r="K62" s="22">
        <f>'Enrollment by Gender Trend'!$J$62 / ('Enrollment by Gender Trend'!$J$62 + 'Enrollment by Gender Trend'!$I$62)</f>
        <v>0.67898874017420863</v>
      </c>
      <c r="L62" s="21">
        <f>SUBTOTAL(109,'Enrollment by Gender Trend'!$L$48:$L$61)</f>
        <v>4383</v>
      </c>
      <c r="M62" s="21">
        <f>SUBTOTAL(109,'Enrollment by Gender Trend'!$M$48:$M$61)</f>
        <v>9249</v>
      </c>
      <c r="N62" s="22">
        <f>'Enrollment by Gender Trend'!$M$62 / ('Enrollment by Gender Trend'!$M$62 +'Enrollment by Gender Trend'!$L$62)</f>
        <v>0.67847711267605637</v>
      </c>
      <c r="O62" s="21">
        <f>SUBTOTAL(109,'Enrollment by Gender Trend'!$O$48:$O$61)</f>
        <v>4375</v>
      </c>
      <c r="P62" s="21">
        <f>SUBTOTAL(109,'Enrollment by Gender Trend'!$P$48:$P$61)</f>
        <v>9427</v>
      </c>
      <c r="Q62" s="22">
        <f>'Enrollment by Gender Trend'!$P$62 / ('Enrollment by Gender Trend'!$P$62 +'Enrollment by Gender Trend'!$O$62)</f>
        <v>0.68301695406462837</v>
      </c>
      <c r="R62" s="21">
        <f>SUBTOTAL(109,'Enrollment by Gender Trend'!$R$48:$R$61)</f>
        <v>4419</v>
      </c>
      <c r="S62" s="21">
        <f>SUBTOTAL(109,'Enrollment by Gender Trend'!$S$48:$S$61)</f>
        <v>9889</v>
      </c>
      <c r="T62" s="22">
        <f xml:space="preserve"> 'Enrollment by Gender Trend'!$S$62 /('Enrollment by Gender Trend'!$S$62 +'Enrollment by Gender Trend'!$R$62)</f>
        <v>0.69115180318702829</v>
      </c>
      <c r="U62" s="21">
        <f>SUBTOTAL(109,'Enrollment by Gender Trend'!$U$48:$U$61)</f>
        <v>4650</v>
      </c>
      <c r="V62" s="21">
        <f>SUBTOTAL(109,'Enrollment by Gender Trend'!$V$48:$V$61)</f>
        <v>10327</v>
      </c>
      <c r="W62" s="22">
        <f>'Enrollment by Gender Trend'!$V$62 / ('Enrollment by Gender Trend'!$V$62 + 'Enrollment by Gender Trend'!$U$62)</f>
        <v>0.68952393670294454</v>
      </c>
      <c r="X62" s="21">
        <f>SUBTOTAL(109,'Enrollment by Gender Trend'!$X$48:$X$61)</f>
        <v>4767</v>
      </c>
      <c r="Y62" s="21">
        <f>SUBTOTAL(109,'Enrollment by Gender Trend'!$Y$48:$Y$61)</f>
        <v>10563</v>
      </c>
      <c r="Z62" s="22">
        <f>'Enrollment by Gender Trend'!$Y$62 / ('Enrollment by Gender Trend'!$Y$62 +'Enrollment by Gender Trend'!$X$62)</f>
        <v>0.68904109589041096</v>
      </c>
      <c r="AA62" s="21">
        <f>SUBTOTAL(109,'Enrollment by Gender Trend'!$AA$48:$AA$61)</f>
        <v>4603</v>
      </c>
      <c r="AB62" s="21">
        <f>SUBTOTAL(109,'Enrollment by Gender Trend'!$AB$48:$AB$61)</f>
        <v>10686</v>
      </c>
      <c r="AC62" s="22">
        <f xml:space="preserve"> 'Enrollment by Gender Trend'!$AB$62 / ('Enrollment by Gender Trend'!$AB$62 +'Enrollment by Gender Trend'!$AA$62)</f>
        <v>0.69893387402707829</v>
      </c>
      <c r="AD62" s="21">
        <f>SUBTOTAL(109,'Enrollment by Gender Trend'!$AD$48:$AD$61)</f>
        <v>4487</v>
      </c>
      <c r="AE62" s="21">
        <f>SUBTOTAL(109,'Enrollment by Gender Trend'!$AE$48:$AE$61)</f>
        <v>10889</v>
      </c>
      <c r="AF62" s="22">
        <f>'Enrollment by Gender Trend'!$AE$62 / ('Enrollment by Gender Trend'!$AE$62 +'Enrollment by Gender Trend'!$AD$62)</f>
        <v>0.70818158168574397</v>
      </c>
    </row>
    <row r="64" spans="2:32" x14ac:dyDescent="0.2">
      <c r="B64" s="6" t="s">
        <v>29</v>
      </c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</row>
    <row r="65" spans="2:2" x14ac:dyDescent="0.2">
      <c r="B65" s="9" t="s">
        <v>30</v>
      </c>
    </row>
    <row r="66" spans="2:2" x14ac:dyDescent="0.2">
      <c r="B66" s="9" t="s">
        <v>31</v>
      </c>
    </row>
  </sheetData>
  <mergeCells count="37">
    <mergeCell ref="U45:W45"/>
    <mergeCell ref="X45:Z45"/>
    <mergeCell ref="AA45:AC45"/>
    <mergeCell ref="AD45:AF45"/>
    <mergeCell ref="X24:Z24"/>
    <mergeCell ref="AA24:AC24"/>
    <mergeCell ref="AD24:AF24"/>
    <mergeCell ref="B44:AF44"/>
    <mergeCell ref="C45:E45"/>
    <mergeCell ref="F45:H45"/>
    <mergeCell ref="I45:K45"/>
    <mergeCell ref="L45:N45"/>
    <mergeCell ref="O45:Q45"/>
    <mergeCell ref="R45:T45"/>
    <mergeCell ref="B45:B46"/>
    <mergeCell ref="B23:AF23"/>
    <mergeCell ref="C24:E24"/>
    <mergeCell ref="F24:H24"/>
    <mergeCell ref="I24:K24"/>
    <mergeCell ref="L24:N24"/>
    <mergeCell ref="O24:Q24"/>
    <mergeCell ref="R24:T24"/>
    <mergeCell ref="U24:W24"/>
    <mergeCell ref="B24:B25"/>
    <mergeCell ref="B1:AF1"/>
    <mergeCell ref="B2:AF2"/>
    <mergeCell ref="C3:E3"/>
    <mergeCell ref="F3:H3"/>
    <mergeCell ref="I3:K3"/>
    <mergeCell ref="L3:N3"/>
    <mergeCell ref="O3:Q3"/>
    <mergeCell ref="R3:T3"/>
    <mergeCell ref="U3:W3"/>
    <mergeCell ref="X3:Z3"/>
    <mergeCell ref="AA3:AC3"/>
    <mergeCell ref="AD3:AF3"/>
    <mergeCell ref="B3:B4"/>
  </mergeCells>
  <printOptions horizontalCentered="1"/>
  <pageMargins left="0.5" right="0.5" top="1" bottom="0.5" header="0.3" footer="0.3"/>
  <pageSetup paperSize="17" scale="59" fitToHeight="0" orientation="landscape" r:id="rId1"/>
  <headerFooter>
    <oddHeader>&amp;L&amp;"Arial,Regular"&amp;10Pennsylvania's State System of Higher Education | &amp;D
Office of Educational Intelligence | Page &amp;P of &amp;N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AP116"/>
  <sheetViews>
    <sheetView zoomScaleNormal="100" workbookViewId="0">
      <selection activeCell="B95" sqref="B95"/>
    </sheetView>
  </sheetViews>
  <sheetFormatPr defaultRowHeight="14.25" x14ac:dyDescent="0.2"/>
  <cols>
    <col min="1" max="1" width="9.140625" style="5"/>
    <col min="2" max="2" width="23.5703125" style="5" customWidth="1"/>
    <col min="3" max="42" width="9.7109375" style="5" customWidth="1"/>
    <col min="43" max="43" width="10.5703125" style="5" bestFit="1" customWidth="1"/>
    <col min="44" max="45" width="10.42578125" style="5" bestFit="1" customWidth="1"/>
    <col min="46" max="46" width="10.5703125" style="5" bestFit="1" customWidth="1"/>
    <col min="47" max="16384" width="9.140625" style="5"/>
  </cols>
  <sheetData>
    <row r="1" spans="1:42" ht="15" x14ac:dyDescent="0.2">
      <c r="A1" s="78"/>
      <c r="B1" s="131" t="s">
        <v>0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</row>
    <row r="2" spans="1:42" ht="15" x14ac:dyDescent="0.2">
      <c r="A2" s="60"/>
      <c r="B2" s="131" t="s">
        <v>158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</row>
    <row r="3" spans="1:42" x14ac:dyDescent="0.2">
      <c r="A3" s="60"/>
      <c r="B3" s="134" t="s">
        <v>1</v>
      </c>
      <c r="C3" s="133" t="str">
        <f>CONCATENATE(IF(RIGHT(Parameters!B1,1) = "1","Fall ", "Spring "),IF(RIGHT(Parameters!B1,1) = "1",LEFT(Parameters!B1,4) -9, LEFT(Parameters!B1,4) - 8))</f>
        <v>Fall 2010</v>
      </c>
      <c r="D3" s="133"/>
      <c r="E3" s="133"/>
      <c r="F3" s="133"/>
      <c r="G3" s="133" t="str">
        <f>CONCATENATE(IF(RIGHT(Parameters!B1,1) = "1","Fall ", "Spring "),IF(RIGHT(Parameters!B1,1) = "1",LEFT(Parameters!B1,4) -8, LEFT(Parameters!B1,4) - 7))</f>
        <v>Fall 2011</v>
      </c>
      <c r="H3" s="133"/>
      <c r="I3" s="133"/>
      <c r="J3" s="133"/>
      <c r="K3" s="133" t="str">
        <f>CONCATENATE(IF(RIGHT(Parameters!B1,1) = "1","Fall ", "Spring "),IF(RIGHT(Parameters!B1,1) = "1",LEFT(Parameters!B1,4) -7, LEFT(Parameters!B1,4) - 6))</f>
        <v>Fall 2012</v>
      </c>
      <c r="L3" s="133"/>
      <c r="M3" s="133"/>
      <c r="N3" s="133"/>
      <c r="O3" s="133" t="str">
        <f>CONCATENATE(IF(RIGHT(Parameters!B1,1) = "1","Fall ", "Spring "),IF(RIGHT(Parameters!B1,1) = "1",LEFT(Parameters!B1,4) -6, LEFT(Parameters!B1,4) - 5))</f>
        <v>Fall 2013</v>
      </c>
      <c r="P3" s="133"/>
      <c r="Q3" s="133"/>
      <c r="R3" s="133"/>
      <c r="S3" s="133" t="str">
        <f>CONCATENATE(IF(RIGHT(Parameters!B1,1) = "1","Fall ", "Spring "),IF(RIGHT(Parameters!B1,1) = "1",LEFT(Parameters!B1,4) -5, LEFT(Parameters!B1,4) - 4))</f>
        <v>Fall 2014</v>
      </c>
      <c r="T3" s="133"/>
      <c r="U3" s="133"/>
      <c r="V3" s="133"/>
      <c r="W3" s="133" t="str">
        <f>CONCATENATE(IF(RIGHT(Parameters!B1,1) = "1","Fall ", "Spring "),IF(RIGHT(Parameters!B1,1) = "1",LEFT(Parameters!B1,4) -4, LEFT(Parameters!B1,4) - 3))</f>
        <v>Fall 2015</v>
      </c>
      <c r="X3" s="133"/>
      <c r="Y3" s="133"/>
      <c r="Z3" s="133"/>
      <c r="AA3" s="133" t="str">
        <f>CONCATENATE(IF(RIGHT(Parameters!B1,1) = "1","Fall ", "Spring "),IF(RIGHT(Parameters!B1,1) = "1",LEFT(Parameters!B1,4) -3, LEFT(Parameters!B1,4) -2 ))</f>
        <v>Fall 2016</v>
      </c>
      <c r="AB3" s="133"/>
      <c r="AC3" s="133"/>
      <c r="AD3" s="133"/>
      <c r="AE3" s="133" t="str">
        <f>CONCATENATE(IF(RIGHT(Parameters!B1,1) = "1","Fall ", "Spring "),IF(RIGHT(Parameters!B1,1) = "1",LEFT(Parameters!B1,4) -2, LEFT(Parameters!B1,4) -1 ))</f>
        <v>Fall 2017</v>
      </c>
      <c r="AF3" s="133"/>
      <c r="AG3" s="133"/>
      <c r="AH3" s="133"/>
      <c r="AI3" s="133" t="str">
        <f>CONCATENATE(IF(RIGHT(Parameters!B1,1) = "1","Fall ", "Spring "),IF(RIGHT(Parameters!B1,1) = "1",LEFT(Parameters!B1,4) -1, LEFT(Parameters!B1,4)  ))</f>
        <v>Fall 2018</v>
      </c>
      <c r="AJ3" s="133"/>
      <c r="AK3" s="133"/>
      <c r="AL3" s="133"/>
      <c r="AM3" s="133" t="str">
        <f>CONCATENATE(IF(RIGHT(Parameters!B1,1) = "1","Fall ", "Spring "),IF(RIGHT(Parameters!B1,1) = "1",LEFT(Parameters!B1,4), LEFT(Parameters!B1,4) + 1))</f>
        <v>Fall 2019</v>
      </c>
      <c r="AN3" s="133"/>
      <c r="AO3" s="133"/>
      <c r="AP3" s="133"/>
    </row>
    <row r="4" spans="1:42" x14ac:dyDescent="0.2">
      <c r="A4" s="60"/>
      <c r="B4" s="136"/>
      <c r="C4" s="133" t="s">
        <v>159</v>
      </c>
      <c r="D4" s="133"/>
      <c r="E4" s="133" t="s">
        <v>160</v>
      </c>
      <c r="F4" s="133"/>
      <c r="G4" s="133" t="s">
        <v>159</v>
      </c>
      <c r="H4" s="133"/>
      <c r="I4" s="133" t="s">
        <v>160</v>
      </c>
      <c r="J4" s="133"/>
      <c r="K4" s="133" t="s">
        <v>159</v>
      </c>
      <c r="L4" s="133"/>
      <c r="M4" s="133" t="s">
        <v>160</v>
      </c>
      <c r="N4" s="133"/>
      <c r="O4" s="133" t="s">
        <v>159</v>
      </c>
      <c r="P4" s="133"/>
      <c r="Q4" s="133" t="s">
        <v>160</v>
      </c>
      <c r="R4" s="133"/>
      <c r="S4" s="133" t="s">
        <v>159</v>
      </c>
      <c r="T4" s="133"/>
      <c r="U4" s="133" t="s">
        <v>160</v>
      </c>
      <c r="V4" s="133"/>
      <c r="W4" s="133" t="s">
        <v>159</v>
      </c>
      <c r="X4" s="133"/>
      <c r="Y4" s="133" t="s">
        <v>160</v>
      </c>
      <c r="Z4" s="133"/>
      <c r="AA4" s="133" t="s">
        <v>159</v>
      </c>
      <c r="AB4" s="133"/>
      <c r="AC4" s="133" t="s">
        <v>160</v>
      </c>
      <c r="AD4" s="133"/>
      <c r="AE4" s="133" t="s">
        <v>159</v>
      </c>
      <c r="AF4" s="133"/>
      <c r="AG4" s="133" t="s">
        <v>160</v>
      </c>
      <c r="AH4" s="133"/>
      <c r="AI4" s="133" t="s">
        <v>159</v>
      </c>
      <c r="AJ4" s="133"/>
      <c r="AK4" s="133" t="s">
        <v>160</v>
      </c>
      <c r="AL4" s="133"/>
      <c r="AM4" s="133" t="s">
        <v>159</v>
      </c>
      <c r="AN4" s="133"/>
      <c r="AO4" s="133" t="s">
        <v>160</v>
      </c>
      <c r="AP4" s="133"/>
    </row>
    <row r="5" spans="1:42" x14ac:dyDescent="0.2">
      <c r="A5" s="60"/>
      <c r="B5" s="135"/>
      <c r="C5" s="52" t="s">
        <v>161</v>
      </c>
      <c r="D5" s="52" t="s">
        <v>162</v>
      </c>
      <c r="E5" s="52" t="s">
        <v>161</v>
      </c>
      <c r="F5" s="52" t="s">
        <v>162</v>
      </c>
      <c r="G5" s="52" t="s">
        <v>161</v>
      </c>
      <c r="H5" s="52" t="s">
        <v>162</v>
      </c>
      <c r="I5" s="52" t="s">
        <v>161</v>
      </c>
      <c r="J5" s="52" t="s">
        <v>162</v>
      </c>
      <c r="K5" s="52" t="s">
        <v>161</v>
      </c>
      <c r="L5" s="52" t="s">
        <v>162</v>
      </c>
      <c r="M5" s="52" t="s">
        <v>161</v>
      </c>
      <c r="N5" s="52" t="s">
        <v>162</v>
      </c>
      <c r="O5" s="52" t="s">
        <v>161</v>
      </c>
      <c r="P5" s="52" t="s">
        <v>162</v>
      </c>
      <c r="Q5" s="52" t="s">
        <v>161</v>
      </c>
      <c r="R5" s="52" t="s">
        <v>162</v>
      </c>
      <c r="S5" s="52" t="s">
        <v>161</v>
      </c>
      <c r="T5" s="52" t="s">
        <v>162</v>
      </c>
      <c r="U5" s="52" t="s">
        <v>161</v>
      </c>
      <c r="V5" s="52" t="s">
        <v>162</v>
      </c>
      <c r="W5" s="52" t="s">
        <v>161</v>
      </c>
      <c r="X5" s="52" t="s">
        <v>162</v>
      </c>
      <c r="Y5" s="52" t="s">
        <v>161</v>
      </c>
      <c r="Z5" s="52" t="s">
        <v>162</v>
      </c>
      <c r="AA5" s="52" t="s">
        <v>161</v>
      </c>
      <c r="AB5" s="52" t="s">
        <v>162</v>
      </c>
      <c r="AC5" s="52" t="s">
        <v>161</v>
      </c>
      <c r="AD5" s="52" t="s">
        <v>162</v>
      </c>
      <c r="AE5" s="52" t="s">
        <v>161</v>
      </c>
      <c r="AF5" s="52" t="s">
        <v>162</v>
      </c>
      <c r="AG5" s="52" t="s">
        <v>161</v>
      </c>
      <c r="AH5" s="52" t="s">
        <v>162</v>
      </c>
      <c r="AI5" s="52" t="s">
        <v>161</v>
      </c>
      <c r="AJ5" s="52" t="s">
        <v>162</v>
      </c>
      <c r="AK5" s="52" t="s">
        <v>161</v>
      </c>
      <c r="AL5" s="52" t="s">
        <v>162</v>
      </c>
      <c r="AM5" s="52" t="s">
        <v>161</v>
      </c>
      <c r="AN5" s="52" t="s">
        <v>162</v>
      </c>
      <c r="AO5" s="52" t="s">
        <v>161</v>
      </c>
      <c r="AP5" s="52" t="s">
        <v>162</v>
      </c>
    </row>
    <row r="6" spans="1:42" ht="15" hidden="1" customHeight="1" x14ac:dyDescent="0.2">
      <c r="A6" s="60"/>
      <c r="B6" s="26" t="s">
        <v>2</v>
      </c>
      <c r="C6" s="26" t="s">
        <v>163</v>
      </c>
      <c r="D6" s="26" t="s">
        <v>164</v>
      </c>
      <c r="E6" s="26" t="s">
        <v>165</v>
      </c>
      <c r="F6" s="26" t="s">
        <v>139</v>
      </c>
      <c r="G6" s="26" t="s">
        <v>166</v>
      </c>
      <c r="H6" s="26" t="s">
        <v>167</v>
      </c>
      <c r="I6" s="26" t="s">
        <v>168</v>
      </c>
      <c r="J6" s="26" t="s">
        <v>140</v>
      </c>
      <c r="K6" s="26" t="s">
        <v>169</v>
      </c>
      <c r="L6" s="26" t="s">
        <v>170</v>
      </c>
      <c r="M6" s="26" t="s">
        <v>171</v>
      </c>
      <c r="N6" s="26" t="s">
        <v>141</v>
      </c>
      <c r="O6" s="26" t="s">
        <v>172</v>
      </c>
      <c r="P6" s="26" t="s">
        <v>173</v>
      </c>
      <c r="Q6" s="26" t="s">
        <v>174</v>
      </c>
      <c r="R6" s="26" t="s">
        <v>142</v>
      </c>
      <c r="S6" s="26" t="s">
        <v>175</v>
      </c>
      <c r="T6" s="26" t="s">
        <v>176</v>
      </c>
      <c r="U6" s="26" t="s">
        <v>177</v>
      </c>
      <c r="V6" s="26" t="s">
        <v>143</v>
      </c>
      <c r="W6" s="26" t="s">
        <v>178</v>
      </c>
      <c r="X6" s="26" t="s">
        <v>179</v>
      </c>
      <c r="Y6" s="26" t="s">
        <v>180</v>
      </c>
      <c r="Z6" s="26" t="s">
        <v>144</v>
      </c>
      <c r="AA6" s="26" t="s">
        <v>181</v>
      </c>
      <c r="AB6" s="26" t="s">
        <v>182</v>
      </c>
      <c r="AC6" s="26" t="s">
        <v>183</v>
      </c>
      <c r="AD6" s="26" t="s">
        <v>145</v>
      </c>
      <c r="AE6" s="26" t="s">
        <v>184</v>
      </c>
      <c r="AF6" s="26" t="s">
        <v>185</v>
      </c>
      <c r="AG6" s="26" t="s">
        <v>186</v>
      </c>
      <c r="AH6" s="26" t="s">
        <v>146</v>
      </c>
      <c r="AI6" s="26" t="s">
        <v>187</v>
      </c>
      <c r="AJ6" s="26" t="s">
        <v>188</v>
      </c>
      <c r="AK6" s="26" t="s">
        <v>189</v>
      </c>
      <c r="AL6" s="26" t="s">
        <v>148</v>
      </c>
      <c r="AM6" s="26" t="s">
        <v>190</v>
      </c>
      <c r="AN6" s="26" t="s">
        <v>191</v>
      </c>
      <c r="AO6" s="26" t="s">
        <v>192</v>
      </c>
      <c r="AP6" s="26" t="s">
        <v>149</v>
      </c>
    </row>
    <row r="7" spans="1:42" x14ac:dyDescent="0.2">
      <c r="A7" s="60"/>
      <c r="B7" s="56" t="s">
        <v>13</v>
      </c>
      <c r="C7" s="57">
        <v>1120</v>
      </c>
      <c r="D7" s="68">
        <v>0.110989</v>
      </c>
      <c r="E7" s="57">
        <v>8971</v>
      </c>
      <c r="F7" s="68">
        <v>0.88900999999999997</v>
      </c>
      <c r="G7" s="57">
        <v>1082</v>
      </c>
      <c r="H7" s="68">
        <v>0.106506</v>
      </c>
      <c r="I7" s="57">
        <v>9077</v>
      </c>
      <c r="J7" s="68">
        <v>0.89349299999999998</v>
      </c>
      <c r="K7" s="57">
        <v>897</v>
      </c>
      <c r="L7" s="68">
        <v>9.0149999999999994E-2</v>
      </c>
      <c r="M7" s="57">
        <v>9053</v>
      </c>
      <c r="N7" s="68">
        <v>0.90984900000000002</v>
      </c>
      <c r="O7" s="57">
        <v>859</v>
      </c>
      <c r="P7" s="68">
        <v>8.4821999999999995E-2</v>
      </c>
      <c r="Q7" s="57">
        <v>9268</v>
      </c>
      <c r="R7" s="68">
        <v>0.91517700000000002</v>
      </c>
      <c r="S7" s="57">
        <v>855</v>
      </c>
      <c r="T7" s="68">
        <v>8.5516999999999996E-2</v>
      </c>
      <c r="U7" s="57">
        <v>9143</v>
      </c>
      <c r="V7" s="68">
        <v>0.91448200000000002</v>
      </c>
      <c r="W7" s="57">
        <v>804</v>
      </c>
      <c r="X7" s="68">
        <v>8.2233000000000001E-2</v>
      </c>
      <c r="Y7" s="57">
        <v>8973</v>
      </c>
      <c r="Z7" s="68">
        <v>0.91776599999999997</v>
      </c>
      <c r="AA7" s="57">
        <v>834</v>
      </c>
      <c r="AB7" s="68">
        <v>8.6352999999999999E-2</v>
      </c>
      <c r="AC7" s="57">
        <v>8824</v>
      </c>
      <c r="AD7" s="68">
        <v>0.91364599999999996</v>
      </c>
      <c r="AE7" s="57">
        <v>897</v>
      </c>
      <c r="AF7" s="68">
        <v>9.6586000000000005E-2</v>
      </c>
      <c r="AG7" s="57">
        <v>8390</v>
      </c>
      <c r="AH7" s="68">
        <v>0.90341300000000002</v>
      </c>
      <c r="AI7" s="57">
        <v>875</v>
      </c>
      <c r="AJ7" s="68">
        <v>9.8049999999999998E-2</v>
      </c>
      <c r="AK7" s="57">
        <v>8049</v>
      </c>
      <c r="AL7" s="68">
        <v>0.901949</v>
      </c>
      <c r="AM7" s="57">
        <v>850</v>
      </c>
      <c r="AN7" s="68">
        <v>9.7823999999999994E-2</v>
      </c>
      <c r="AO7" s="57">
        <v>7839</v>
      </c>
      <c r="AP7" s="68">
        <v>0.90217499999999995</v>
      </c>
    </row>
    <row r="8" spans="1:42" x14ac:dyDescent="0.2">
      <c r="A8" s="60"/>
      <c r="B8" s="58" t="s">
        <v>14</v>
      </c>
      <c r="C8" s="59">
        <v>2852</v>
      </c>
      <c r="D8" s="70">
        <v>0.30340400000000001</v>
      </c>
      <c r="E8" s="59">
        <v>6548</v>
      </c>
      <c r="F8" s="70">
        <v>0.69659499999999996</v>
      </c>
      <c r="G8" s="59">
        <v>2909</v>
      </c>
      <c r="H8" s="70">
        <v>0.306759</v>
      </c>
      <c r="I8" s="59">
        <v>6574</v>
      </c>
      <c r="J8" s="70">
        <v>0.69323999999999997</v>
      </c>
      <c r="K8" s="59">
        <v>2629</v>
      </c>
      <c r="L8" s="70">
        <v>0.30541299999999999</v>
      </c>
      <c r="M8" s="59">
        <v>5979</v>
      </c>
      <c r="N8" s="70">
        <v>0.69458600000000004</v>
      </c>
      <c r="O8" s="59">
        <v>2477</v>
      </c>
      <c r="P8" s="70">
        <v>0.30049700000000001</v>
      </c>
      <c r="Q8" s="59">
        <v>5766</v>
      </c>
      <c r="R8" s="70">
        <v>0.69950199999999996</v>
      </c>
      <c r="S8" s="59">
        <v>2524</v>
      </c>
      <c r="T8" s="70">
        <v>0.31636999999999998</v>
      </c>
      <c r="U8" s="59">
        <v>5454</v>
      </c>
      <c r="V8" s="70">
        <v>0.68362900000000004</v>
      </c>
      <c r="W8" s="59">
        <v>2640</v>
      </c>
      <c r="X8" s="70">
        <v>0.33613399999999999</v>
      </c>
      <c r="Y8" s="59">
        <v>5214</v>
      </c>
      <c r="Z8" s="70">
        <v>0.66386500000000004</v>
      </c>
      <c r="AA8" s="59">
        <v>2710</v>
      </c>
      <c r="AB8" s="70">
        <v>0.35879699999999998</v>
      </c>
      <c r="AC8" s="59">
        <v>4843</v>
      </c>
      <c r="AD8" s="70">
        <v>0.64120200000000005</v>
      </c>
      <c r="AE8" s="59">
        <v>3028</v>
      </c>
      <c r="AF8" s="70">
        <v>0.38880300000000001</v>
      </c>
      <c r="AG8" s="59">
        <v>4760</v>
      </c>
      <c r="AH8" s="70">
        <v>0.61119599999999996</v>
      </c>
      <c r="AI8" s="59">
        <v>2861</v>
      </c>
      <c r="AJ8" s="70">
        <v>0.39127400000000001</v>
      </c>
      <c r="AK8" s="59">
        <v>4451</v>
      </c>
      <c r="AL8" s="70">
        <v>0.60872499999999996</v>
      </c>
      <c r="AM8" s="59">
        <v>2515</v>
      </c>
      <c r="AN8" s="70">
        <v>0.36758200000000002</v>
      </c>
      <c r="AO8" s="59">
        <v>4327</v>
      </c>
      <c r="AP8" s="70">
        <v>0.63241700000000001</v>
      </c>
    </row>
    <row r="9" spans="1:42" x14ac:dyDescent="0.2">
      <c r="A9" s="60"/>
      <c r="B9" s="58" t="s">
        <v>15</v>
      </c>
      <c r="C9" s="59">
        <v>219</v>
      </c>
      <c r="D9" s="70">
        <v>0.13808300000000001</v>
      </c>
      <c r="E9" s="59">
        <v>1367</v>
      </c>
      <c r="F9" s="70">
        <v>0.86191600000000002</v>
      </c>
      <c r="G9" s="59">
        <v>170</v>
      </c>
      <c r="H9" s="70">
        <v>0.14166599999999999</v>
      </c>
      <c r="I9" s="59">
        <v>1030</v>
      </c>
      <c r="J9" s="70">
        <v>0.85833300000000001</v>
      </c>
      <c r="K9" s="59">
        <v>201</v>
      </c>
      <c r="L9" s="70">
        <v>0.15654199999999999</v>
      </c>
      <c r="M9" s="59">
        <v>1083</v>
      </c>
      <c r="N9" s="70">
        <v>0.84345700000000001</v>
      </c>
      <c r="O9" s="59">
        <v>158</v>
      </c>
      <c r="P9" s="70">
        <v>0.13036300000000001</v>
      </c>
      <c r="Q9" s="59">
        <v>1054</v>
      </c>
      <c r="R9" s="70">
        <v>0.86963599999999996</v>
      </c>
      <c r="S9" s="59">
        <v>138</v>
      </c>
      <c r="T9" s="70">
        <v>0.13502900000000001</v>
      </c>
      <c r="U9" s="59">
        <v>884</v>
      </c>
      <c r="V9" s="70">
        <v>0.86497000000000002</v>
      </c>
      <c r="W9" s="59">
        <v>111</v>
      </c>
      <c r="X9" s="70">
        <v>0.15611800000000001</v>
      </c>
      <c r="Y9" s="59">
        <v>600</v>
      </c>
      <c r="Z9" s="70">
        <v>0.84388099999999999</v>
      </c>
      <c r="AA9" s="59">
        <v>120</v>
      </c>
      <c r="AB9" s="70">
        <v>0.160857</v>
      </c>
      <c r="AC9" s="59">
        <v>626</v>
      </c>
      <c r="AD9" s="70">
        <v>0.83914200000000005</v>
      </c>
      <c r="AE9" s="59">
        <v>103</v>
      </c>
      <c r="AF9" s="70">
        <v>0.13642299999999999</v>
      </c>
      <c r="AG9" s="59">
        <v>652</v>
      </c>
      <c r="AH9" s="70">
        <v>0.86357600000000001</v>
      </c>
      <c r="AI9" s="59">
        <v>62</v>
      </c>
      <c r="AJ9" s="70">
        <v>0.13219600000000001</v>
      </c>
      <c r="AK9" s="59">
        <v>407</v>
      </c>
      <c r="AL9" s="70">
        <v>0.86780299999999999</v>
      </c>
      <c r="AM9" s="59">
        <v>68</v>
      </c>
      <c r="AN9" s="70">
        <v>0.110032</v>
      </c>
      <c r="AO9" s="59">
        <v>550</v>
      </c>
      <c r="AP9" s="70">
        <v>0.88996699999999995</v>
      </c>
    </row>
    <row r="10" spans="1:42" x14ac:dyDescent="0.2">
      <c r="A10" s="60"/>
      <c r="B10" s="58" t="s">
        <v>16</v>
      </c>
      <c r="C10" s="59">
        <v>1814</v>
      </c>
      <c r="D10" s="70">
        <v>0.24798300000000001</v>
      </c>
      <c r="E10" s="59">
        <v>5501</v>
      </c>
      <c r="F10" s="70">
        <v>0.75201600000000002</v>
      </c>
      <c r="G10" s="59">
        <v>1815</v>
      </c>
      <c r="H10" s="70">
        <v>0.25961899999999999</v>
      </c>
      <c r="I10" s="59">
        <v>5176</v>
      </c>
      <c r="J10" s="70">
        <v>0.74038000000000004</v>
      </c>
      <c r="K10" s="59">
        <v>1643</v>
      </c>
      <c r="L10" s="70">
        <v>0.25199300000000002</v>
      </c>
      <c r="M10" s="59">
        <v>4877</v>
      </c>
      <c r="N10" s="70">
        <v>0.74800599999999995</v>
      </c>
      <c r="O10" s="59">
        <v>1537</v>
      </c>
      <c r="P10" s="70">
        <v>0.25279600000000002</v>
      </c>
      <c r="Q10" s="59">
        <v>4543</v>
      </c>
      <c r="R10" s="70">
        <v>0.74720299999999995</v>
      </c>
      <c r="S10" s="59">
        <v>1465</v>
      </c>
      <c r="T10" s="70">
        <v>0.25647700000000001</v>
      </c>
      <c r="U10" s="59">
        <v>4247</v>
      </c>
      <c r="V10" s="70">
        <v>0.74352200000000002</v>
      </c>
      <c r="W10" s="59">
        <v>1411</v>
      </c>
      <c r="X10" s="70">
        <v>0.262853</v>
      </c>
      <c r="Y10" s="59">
        <v>3957</v>
      </c>
      <c r="Z10" s="70">
        <v>0.73714599999999997</v>
      </c>
      <c r="AA10" s="59">
        <v>1469</v>
      </c>
      <c r="AB10" s="70">
        <v>0.28120200000000001</v>
      </c>
      <c r="AC10" s="59">
        <v>3755</v>
      </c>
      <c r="AD10" s="70">
        <v>0.71879700000000002</v>
      </c>
      <c r="AE10" s="59">
        <v>1512</v>
      </c>
      <c r="AF10" s="70">
        <v>0.289377</v>
      </c>
      <c r="AG10" s="59">
        <v>3713</v>
      </c>
      <c r="AH10" s="70">
        <v>0.71062199999999998</v>
      </c>
      <c r="AI10" s="59">
        <v>1493</v>
      </c>
      <c r="AJ10" s="70">
        <v>0.30663299999999999</v>
      </c>
      <c r="AK10" s="59">
        <v>3376</v>
      </c>
      <c r="AL10" s="70">
        <v>0.69336600000000004</v>
      </c>
      <c r="AM10" s="59">
        <v>1401</v>
      </c>
      <c r="AN10" s="70">
        <v>0.29789399999999999</v>
      </c>
      <c r="AO10" s="59">
        <v>3302</v>
      </c>
      <c r="AP10" s="70">
        <v>0.70210499999999998</v>
      </c>
    </row>
    <row r="11" spans="1:42" x14ac:dyDescent="0.2">
      <c r="A11" s="60"/>
      <c r="B11" s="58" t="s">
        <v>17</v>
      </c>
      <c r="C11" s="59">
        <v>1301</v>
      </c>
      <c r="D11" s="70">
        <v>0.17612</v>
      </c>
      <c r="E11" s="59">
        <v>6086</v>
      </c>
      <c r="F11" s="70">
        <v>0.82387900000000003</v>
      </c>
      <c r="G11" s="59">
        <v>1062</v>
      </c>
      <c r="H11" s="70">
        <v>0.14443</v>
      </c>
      <c r="I11" s="59">
        <v>6291</v>
      </c>
      <c r="J11" s="70">
        <v>0.85556900000000002</v>
      </c>
      <c r="K11" s="59">
        <v>902</v>
      </c>
      <c r="L11" s="70">
        <v>0.129915</v>
      </c>
      <c r="M11" s="59">
        <v>6041</v>
      </c>
      <c r="N11" s="70">
        <v>0.87008399999999997</v>
      </c>
      <c r="O11" s="59">
        <v>879</v>
      </c>
      <c r="P11" s="70">
        <v>0.12968399999999999</v>
      </c>
      <c r="Q11" s="59">
        <v>5899</v>
      </c>
      <c r="R11" s="70">
        <v>0.87031499999999995</v>
      </c>
      <c r="S11" s="59">
        <v>958</v>
      </c>
      <c r="T11" s="70">
        <v>0.14046900000000001</v>
      </c>
      <c r="U11" s="59">
        <v>5862</v>
      </c>
      <c r="V11" s="70">
        <v>0.85953000000000002</v>
      </c>
      <c r="W11" s="59">
        <v>1024</v>
      </c>
      <c r="X11" s="70">
        <v>0.14996999999999999</v>
      </c>
      <c r="Y11" s="59">
        <v>5804</v>
      </c>
      <c r="Z11" s="70">
        <v>0.85002900000000003</v>
      </c>
      <c r="AA11" s="59">
        <v>1020</v>
      </c>
      <c r="AB11" s="70">
        <v>0.149341</v>
      </c>
      <c r="AC11" s="59">
        <v>5810</v>
      </c>
      <c r="AD11" s="70">
        <v>0.85065800000000003</v>
      </c>
      <c r="AE11" s="59">
        <v>1021</v>
      </c>
      <c r="AF11" s="70">
        <v>0.15143799999999999</v>
      </c>
      <c r="AG11" s="59">
        <v>5721</v>
      </c>
      <c r="AH11" s="70">
        <v>0.84856100000000001</v>
      </c>
      <c r="AI11" s="59">
        <v>1002</v>
      </c>
      <c r="AJ11" s="70">
        <v>0.15595300000000001</v>
      </c>
      <c r="AK11" s="59">
        <v>5423</v>
      </c>
      <c r="AL11" s="70">
        <v>0.84404599999999996</v>
      </c>
      <c r="AM11" s="59">
        <v>1056</v>
      </c>
      <c r="AN11" s="70">
        <v>0.16993800000000001</v>
      </c>
      <c r="AO11" s="59">
        <v>5158</v>
      </c>
      <c r="AP11" s="70">
        <v>0.83006100000000005</v>
      </c>
    </row>
    <row r="12" spans="1:42" x14ac:dyDescent="0.2">
      <c r="A12" s="60"/>
      <c r="B12" s="58" t="s">
        <v>18</v>
      </c>
      <c r="C12" s="59">
        <v>2759</v>
      </c>
      <c r="D12" s="70">
        <v>0.31925399999999998</v>
      </c>
      <c r="E12" s="59">
        <v>5883</v>
      </c>
      <c r="F12" s="70">
        <v>0.68074500000000004</v>
      </c>
      <c r="G12" s="59">
        <v>2336</v>
      </c>
      <c r="H12" s="70">
        <v>0.28273999999999999</v>
      </c>
      <c r="I12" s="59">
        <v>5926</v>
      </c>
      <c r="J12" s="70">
        <v>0.71725899999999998</v>
      </c>
      <c r="K12" s="59">
        <v>1954</v>
      </c>
      <c r="L12" s="70">
        <v>0.26185999999999998</v>
      </c>
      <c r="M12" s="59">
        <v>5508</v>
      </c>
      <c r="N12" s="70">
        <v>0.73813899999999999</v>
      </c>
      <c r="O12" s="59">
        <v>1782</v>
      </c>
      <c r="P12" s="70">
        <v>0.251056</v>
      </c>
      <c r="Q12" s="59">
        <v>5316</v>
      </c>
      <c r="R12" s="70">
        <v>0.74894300000000003</v>
      </c>
      <c r="S12" s="59">
        <v>1717</v>
      </c>
      <c r="T12" s="70">
        <v>0.251133</v>
      </c>
      <c r="U12" s="59">
        <v>5120</v>
      </c>
      <c r="V12" s="70">
        <v>0.74886600000000003</v>
      </c>
      <c r="W12" s="59">
        <v>1729</v>
      </c>
      <c r="X12" s="70">
        <v>0.26396900000000001</v>
      </c>
      <c r="Y12" s="59">
        <v>4821</v>
      </c>
      <c r="Z12" s="70">
        <v>0.73602999999999996</v>
      </c>
      <c r="AA12" s="59">
        <v>1725</v>
      </c>
      <c r="AB12" s="70">
        <v>0.27908100000000002</v>
      </c>
      <c r="AC12" s="59">
        <v>4456</v>
      </c>
      <c r="AD12" s="70">
        <v>0.72091799999999995</v>
      </c>
      <c r="AE12" s="59">
        <v>1578</v>
      </c>
      <c r="AF12" s="70">
        <v>0.283049</v>
      </c>
      <c r="AG12" s="59">
        <v>3997</v>
      </c>
      <c r="AH12" s="70">
        <v>0.71694999999999998</v>
      </c>
      <c r="AI12" s="59">
        <v>1428</v>
      </c>
      <c r="AJ12" s="70">
        <v>0.29540699999999998</v>
      </c>
      <c r="AK12" s="59">
        <v>3406</v>
      </c>
      <c r="AL12" s="70">
        <v>0.704592</v>
      </c>
      <c r="AM12" s="59">
        <v>1365</v>
      </c>
      <c r="AN12" s="70">
        <v>0.29380099999999998</v>
      </c>
      <c r="AO12" s="59">
        <v>3281</v>
      </c>
      <c r="AP12" s="70">
        <v>0.70619799999999999</v>
      </c>
    </row>
    <row r="13" spans="1:42" x14ac:dyDescent="0.2">
      <c r="A13" s="60"/>
      <c r="B13" s="58" t="s">
        <v>19</v>
      </c>
      <c r="C13" s="59">
        <v>2692</v>
      </c>
      <c r="D13" s="70">
        <v>0.17797099999999999</v>
      </c>
      <c r="E13" s="59">
        <v>12434</v>
      </c>
      <c r="F13" s="70">
        <v>0.82202799999999998</v>
      </c>
      <c r="G13" s="59">
        <v>2423</v>
      </c>
      <c r="H13" s="70">
        <v>0.16012399999999999</v>
      </c>
      <c r="I13" s="59">
        <v>12709</v>
      </c>
      <c r="J13" s="70">
        <v>0.83987500000000004</v>
      </c>
      <c r="K13" s="59">
        <v>2504</v>
      </c>
      <c r="L13" s="70">
        <v>0.160553</v>
      </c>
      <c r="M13" s="59">
        <v>13092</v>
      </c>
      <c r="N13" s="70">
        <v>0.83944600000000003</v>
      </c>
      <c r="O13" s="59">
        <v>2371</v>
      </c>
      <c r="P13" s="70">
        <v>0.15886</v>
      </c>
      <c r="Q13" s="59">
        <v>12554</v>
      </c>
      <c r="R13" s="70">
        <v>0.84113899999999997</v>
      </c>
      <c r="S13" s="59">
        <v>2368</v>
      </c>
      <c r="T13" s="70">
        <v>0.16251399999999999</v>
      </c>
      <c r="U13" s="59">
        <v>12203</v>
      </c>
      <c r="V13" s="70">
        <v>0.83748500000000003</v>
      </c>
      <c r="W13" s="59">
        <v>2418</v>
      </c>
      <c r="X13" s="70">
        <v>0.17228299999999999</v>
      </c>
      <c r="Y13" s="59">
        <v>11617</v>
      </c>
      <c r="Z13" s="70">
        <v>0.82771600000000001</v>
      </c>
      <c r="AA13" s="59">
        <v>2326</v>
      </c>
      <c r="AB13" s="70">
        <v>0.177367</v>
      </c>
      <c r="AC13" s="59">
        <v>10788</v>
      </c>
      <c r="AD13" s="70">
        <v>0.82263200000000003</v>
      </c>
      <c r="AE13" s="59">
        <v>2316</v>
      </c>
      <c r="AF13" s="70">
        <v>0.184365</v>
      </c>
      <c r="AG13" s="59">
        <v>10246</v>
      </c>
      <c r="AH13" s="70">
        <v>0.81563399999999997</v>
      </c>
      <c r="AI13" s="59">
        <v>2167</v>
      </c>
      <c r="AJ13" s="70">
        <v>0.187116</v>
      </c>
      <c r="AK13" s="59">
        <v>9414</v>
      </c>
      <c r="AL13" s="70">
        <v>0.81288300000000002</v>
      </c>
      <c r="AM13" s="59">
        <v>2139</v>
      </c>
      <c r="AN13" s="70">
        <v>0.20110900000000001</v>
      </c>
      <c r="AO13" s="59">
        <v>8497</v>
      </c>
      <c r="AP13" s="70">
        <v>0.79888999999999999</v>
      </c>
    </row>
    <row r="14" spans="1:42" x14ac:dyDescent="0.2">
      <c r="A14" s="60"/>
      <c r="B14" s="58" t="s">
        <v>20</v>
      </c>
      <c r="C14" s="59">
        <v>1541</v>
      </c>
      <c r="D14" s="70">
        <v>0.143924</v>
      </c>
      <c r="E14" s="59">
        <v>9166</v>
      </c>
      <c r="F14" s="70">
        <v>0.85607500000000003</v>
      </c>
      <c r="G14" s="59">
        <v>1290</v>
      </c>
      <c r="H14" s="70">
        <v>0.125449</v>
      </c>
      <c r="I14" s="59">
        <v>8993</v>
      </c>
      <c r="J14" s="70">
        <v>0.87455000000000005</v>
      </c>
      <c r="K14" s="59">
        <v>1106</v>
      </c>
      <c r="L14" s="70">
        <v>0.11281099999999999</v>
      </c>
      <c r="M14" s="59">
        <v>8698</v>
      </c>
      <c r="N14" s="70">
        <v>0.88718799999999998</v>
      </c>
      <c r="O14" s="59">
        <v>1044</v>
      </c>
      <c r="P14" s="70">
        <v>0.10974399999999999</v>
      </c>
      <c r="Q14" s="59">
        <v>8469</v>
      </c>
      <c r="R14" s="70">
        <v>0.89025500000000002</v>
      </c>
      <c r="S14" s="59">
        <v>974</v>
      </c>
      <c r="T14" s="70">
        <v>0.10566200000000001</v>
      </c>
      <c r="U14" s="59">
        <v>8244</v>
      </c>
      <c r="V14" s="70">
        <v>0.89433700000000005</v>
      </c>
      <c r="W14" s="59">
        <v>990</v>
      </c>
      <c r="X14" s="70">
        <v>0.109999</v>
      </c>
      <c r="Y14" s="59">
        <v>8010</v>
      </c>
      <c r="Z14" s="70">
        <v>0.88999899999999998</v>
      </c>
      <c r="AA14" s="59">
        <v>1009</v>
      </c>
      <c r="AB14" s="70">
        <v>0.118524</v>
      </c>
      <c r="AC14" s="59">
        <v>7504</v>
      </c>
      <c r="AD14" s="70">
        <v>0.88147500000000001</v>
      </c>
      <c r="AE14" s="59">
        <v>1049</v>
      </c>
      <c r="AF14" s="70">
        <v>0.125945</v>
      </c>
      <c r="AG14" s="59">
        <v>7280</v>
      </c>
      <c r="AH14" s="70">
        <v>0.874054</v>
      </c>
      <c r="AI14" s="59">
        <v>1083</v>
      </c>
      <c r="AJ14" s="70">
        <v>0.13034000000000001</v>
      </c>
      <c r="AK14" s="59">
        <v>7226</v>
      </c>
      <c r="AL14" s="70">
        <v>0.86965899999999996</v>
      </c>
      <c r="AM14" s="59">
        <v>1353</v>
      </c>
      <c r="AN14" s="70">
        <v>0.16502</v>
      </c>
      <c r="AO14" s="59">
        <v>6846</v>
      </c>
      <c r="AP14" s="70">
        <v>0.83497900000000003</v>
      </c>
    </row>
    <row r="15" spans="1:42" x14ac:dyDescent="0.2">
      <c r="A15" s="60"/>
      <c r="B15" s="58" t="s">
        <v>21</v>
      </c>
      <c r="C15" s="59">
        <v>718</v>
      </c>
      <c r="D15" s="70">
        <v>0.131718</v>
      </c>
      <c r="E15" s="59">
        <v>4733</v>
      </c>
      <c r="F15" s="70">
        <v>0.86828099999999997</v>
      </c>
      <c r="G15" s="59">
        <v>679</v>
      </c>
      <c r="H15" s="70">
        <v>0.12653700000000001</v>
      </c>
      <c r="I15" s="59">
        <v>4687</v>
      </c>
      <c r="J15" s="70">
        <v>0.87346199999999996</v>
      </c>
      <c r="K15" s="59">
        <v>632</v>
      </c>
      <c r="L15" s="70">
        <v>0.118618</v>
      </c>
      <c r="M15" s="59">
        <v>4696</v>
      </c>
      <c r="N15" s="70">
        <v>0.88138099999999997</v>
      </c>
      <c r="O15" s="59">
        <v>682</v>
      </c>
      <c r="P15" s="70">
        <v>0.12965699999999999</v>
      </c>
      <c r="Q15" s="59">
        <v>4578</v>
      </c>
      <c r="R15" s="70">
        <v>0.87034199999999995</v>
      </c>
      <c r="S15" s="59">
        <v>639</v>
      </c>
      <c r="T15" s="70">
        <v>0.12995699999999999</v>
      </c>
      <c r="U15" s="59">
        <v>4278</v>
      </c>
      <c r="V15" s="70">
        <v>0.87004199999999998</v>
      </c>
      <c r="W15" s="59">
        <v>600</v>
      </c>
      <c r="X15" s="70">
        <v>0.13023599999999999</v>
      </c>
      <c r="Y15" s="59">
        <v>4007</v>
      </c>
      <c r="Z15" s="70">
        <v>0.86976299999999995</v>
      </c>
      <c r="AA15" s="59">
        <v>544</v>
      </c>
      <c r="AB15" s="70">
        <v>0.128909</v>
      </c>
      <c r="AC15" s="59">
        <v>3676</v>
      </c>
      <c r="AD15" s="70">
        <v>0.87109000000000003</v>
      </c>
      <c r="AE15" s="59">
        <v>502</v>
      </c>
      <c r="AF15" s="70">
        <v>0.13117300000000001</v>
      </c>
      <c r="AG15" s="59">
        <v>3325</v>
      </c>
      <c r="AH15" s="70">
        <v>0.86882599999999999</v>
      </c>
      <c r="AI15" s="59">
        <v>483</v>
      </c>
      <c r="AJ15" s="70">
        <v>0.14102100000000001</v>
      </c>
      <c r="AK15" s="59">
        <v>2942</v>
      </c>
      <c r="AL15" s="70">
        <v>0.85897800000000002</v>
      </c>
      <c r="AM15" s="59">
        <v>514</v>
      </c>
      <c r="AN15" s="70">
        <v>0.16255500000000001</v>
      </c>
      <c r="AO15" s="59">
        <v>2648</v>
      </c>
      <c r="AP15" s="70">
        <v>0.83744399999999997</v>
      </c>
    </row>
    <row r="16" spans="1:42" x14ac:dyDescent="0.2">
      <c r="A16" s="60"/>
      <c r="B16" s="58" t="s">
        <v>22</v>
      </c>
      <c r="C16" s="59">
        <v>802</v>
      </c>
      <c r="D16" s="70">
        <v>0.235121</v>
      </c>
      <c r="E16" s="59">
        <v>2609</v>
      </c>
      <c r="F16" s="70">
        <v>0.76487799999999995</v>
      </c>
      <c r="G16" s="59">
        <v>702</v>
      </c>
      <c r="H16" s="70">
        <v>0.21435100000000001</v>
      </c>
      <c r="I16" s="59">
        <v>2573</v>
      </c>
      <c r="J16" s="70">
        <v>0.78564800000000001</v>
      </c>
      <c r="K16" s="59">
        <v>622</v>
      </c>
      <c r="L16" s="70">
        <v>0.198658</v>
      </c>
      <c r="M16" s="59">
        <v>2509</v>
      </c>
      <c r="N16" s="70">
        <v>0.80134099999999997</v>
      </c>
      <c r="O16" s="59">
        <v>535</v>
      </c>
      <c r="P16" s="70">
        <v>0.18013399999999999</v>
      </c>
      <c r="Q16" s="59">
        <v>2435</v>
      </c>
      <c r="R16" s="70">
        <v>0.81986499999999995</v>
      </c>
      <c r="S16" s="59">
        <v>456</v>
      </c>
      <c r="T16" s="70">
        <v>0.16569700000000001</v>
      </c>
      <c r="U16" s="59">
        <v>2296</v>
      </c>
      <c r="V16" s="70">
        <v>0.83430199999999999</v>
      </c>
      <c r="W16" s="59">
        <v>361</v>
      </c>
      <c r="X16" s="70">
        <v>0.15110899999999999</v>
      </c>
      <c r="Y16" s="59">
        <v>2028</v>
      </c>
      <c r="Z16" s="70">
        <v>0.84889000000000003</v>
      </c>
      <c r="AA16" s="59">
        <v>299</v>
      </c>
      <c r="AB16" s="70">
        <v>0.13547799999999999</v>
      </c>
      <c r="AC16" s="59">
        <v>1908</v>
      </c>
      <c r="AD16" s="70">
        <v>0.86452099999999998</v>
      </c>
      <c r="AE16" s="59">
        <v>272</v>
      </c>
      <c r="AF16" s="70">
        <v>0.14151900000000001</v>
      </c>
      <c r="AG16" s="59">
        <v>1650</v>
      </c>
      <c r="AH16" s="70">
        <v>0.85848000000000002</v>
      </c>
      <c r="AI16" s="59">
        <v>220</v>
      </c>
      <c r="AJ16" s="70">
        <v>0.13333300000000001</v>
      </c>
      <c r="AK16" s="59">
        <v>1430</v>
      </c>
      <c r="AL16" s="70">
        <v>0.86666600000000005</v>
      </c>
      <c r="AM16" s="59">
        <v>202</v>
      </c>
      <c r="AN16" s="70">
        <v>0.120023</v>
      </c>
      <c r="AO16" s="59">
        <v>1481</v>
      </c>
      <c r="AP16" s="70">
        <v>0.87997599999999998</v>
      </c>
    </row>
    <row r="17" spans="2:42" x14ac:dyDescent="0.2">
      <c r="B17" s="58" t="s">
        <v>23</v>
      </c>
      <c r="C17" s="59">
        <v>1639</v>
      </c>
      <c r="D17" s="70">
        <v>0.18776399999999999</v>
      </c>
      <c r="E17" s="59">
        <v>7090</v>
      </c>
      <c r="F17" s="70">
        <v>0.81223500000000004</v>
      </c>
      <c r="G17" s="59">
        <v>1631</v>
      </c>
      <c r="H17" s="70">
        <v>0.18693399999999999</v>
      </c>
      <c r="I17" s="59">
        <v>7094</v>
      </c>
      <c r="J17" s="70">
        <v>0.81306500000000004</v>
      </c>
      <c r="K17" s="59">
        <v>1501</v>
      </c>
      <c r="L17" s="70">
        <v>0.179373</v>
      </c>
      <c r="M17" s="59">
        <v>6867</v>
      </c>
      <c r="N17" s="70">
        <v>0.82062599999999997</v>
      </c>
      <c r="O17" s="59">
        <v>1456</v>
      </c>
      <c r="P17" s="70">
        <v>0.17586599999999999</v>
      </c>
      <c r="Q17" s="59">
        <v>6823</v>
      </c>
      <c r="R17" s="70">
        <v>0.824133</v>
      </c>
      <c r="S17" s="59">
        <v>1373</v>
      </c>
      <c r="T17" s="70">
        <v>0.170622</v>
      </c>
      <c r="U17" s="59">
        <v>6674</v>
      </c>
      <c r="V17" s="70">
        <v>0.82937700000000003</v>
      </c>
      <c r="W17" s="59">
        <v>1421</v>
      </c>
      <c r="X17" s="70">
        <v>0.17789099999999999</v>
      </c>
      <c r="Y17" s="59">
        <v>6567</v>
      </c>
      <c r="Z17" s="70">
        <v>0.82210799999999995</v>
      </c>
      <c r="AA17" s="59">
        <v>1570</v>
      </c>
      <c r="AB17" s="70">
        <v>0.19805700000000001</v>
      </c>
      <c r="AC17" s="59">
        <v>6357</v>
      </c>
      <c r="AD17" s="70">
        <v>0.80194200000000004</v>
      </c>
      <c r="AE17" s="59">
        <v>1541</v>
      </c>
      <c r="AF17" s="70">
        <v>0.19889000000000001</v>
      </c>
      <c r="AG17" s="59">
        <v>6207</v>
      </c>
      <c r="AH17" s="70">
        <v>0.80110899999999996</v>
      </c>
      <c r="AI17" s="59">
        <v>1579</v>
      </c>
      <c r="AJ17" s="70">
        <v>0.20293</v>
      </c>
      <c r="AK17" s="59">
        <v>6202</v>
      </c>
      <c r="AL17" s="70">
        <v>0.79706900000000003</v>
      </c>
      <c r="AM17" s="59">
        <v>1560</v>
      </c>
      <c r="AN17" s="70">
        <v>0.19956499999999999</v>
      </c>
      <c r="AO17" s="59">
        <v>6257</v>
      </c>
      <c r="AP17" s="70">
        <v>0.80043399999999998</v>
      </c>
    </row>
    <row r="18" spans="2:42" x14ac:dyDescent="0.2">
      <c r="B18" s="58" t="s">
        <v>24</v>
      </c>
      <c r="C18" s="59">
        <v>1398</v>
      </c>
      <c r="D18" s="70">
        <v>0.167907</v>
      </c>
      <c r="E18" s="59">
        <v>6928</v>
      </c>
      <c r="F18" s="70">
        <v>0.83209200000000005</v>
      </c>
      <c r="G18" s="59">
        <v>1242</v>
      </c>
      <c r="H18" s="70">
        <v>0.151778</v>
      </c>
      <c r="I18" s="59">
        <v>6941</v>
      </c>
      <c r="J18" s="70">
        <v>0.848221</v>
      </c>
      <c r="K18" s="59">
        <v>1149</v>
      </c>
      <c r="L18" s="70">
        <v>0.148757</v>
      </c>
      <c r="M18" s="59">
        <v>6575</v>
      </c>
      <c r="N18" s="70">
        <v>0.85124200000000005</v>
      </c>
      <c r="O18" s="59">
        <v>1121</v>
      </c>
      <c r="P18" s="70">
        <v>0.14851600000000001</v>
      </c>
      <c r="Q18" s="59">
        <v>6427</v>
      </c>
      <c r="R18" s="70">
        <v>0.85148299999999999</v>
      </c>
      <c r="S18" s="59">
        <v>1156</v>
      </c>
      <c r="T18" s="70">
        <v>0.15717100000000001</v>
      </c>
      <c r="U18" s="59">
        <v>6199</v>
      </c>
      <c r="V18" s="70">
        <v>0.84282800000000002</v>
      </c>
      <c r="W18" s="59">
        <v>1072</v>
      </c>
      <c r="X18" s="70">
        <v>0.15188399999999999</v>
      </c>
      <c r="Y18" s="59">
        <v>5986</v>
      </c>
      <c r="Z18" s="70">
        <v>0.84811499999999995</v>
      </c>
      <c r="AA18" s="59">
        <v>1143</v>
      </c>
      <c r="AB18" s="70">
        <v>0.16354199999999999</v>
      </c>
      <c r="AC18" s="59">
        <v>5846</v>
      </c>
      <c r="AD18" s="70">
        <v>0.83645700000000001</v>
      </c>
      <c r="AE18" s="59">
        <v>1108</v>
      </c>
      <c r="AF18" s="70">
        <v>0.16836300000000001</v>
      </c>
      <c r="AG18" s="59">
        <v>5473</v>
      </c>
      <c r="AH18" s="70">
        <v>0.83163600000000004</v>
      </c>
      <c r="AI18" s="59">
        <v>1004</v>
      </c>
      <c r="AJ18" s="70">
        <v>0.15667900000000001</v>
      </c>
      <c r="AK18" s="59">
        <v>5404</v>
      </c>
      <c r="AL18" s="70">
        <v>0.84331999999999996</v>
      </c>
      <c r="AM18" s="59">
        <v>888</v>
      </c>
      <c r="AN18" s="70">
        <v>0.14566899999999999</v>
      </c>
      <c r="AO18" s="59">
        <v>5208</v>
      </c>
      <c r="AP18" s="70">
        <v>0.85433000000000003</v>
      </c>
    </row>
    <row r="19" spans="2:42" x14ac:dyDescent="0.2">
      <c r="B19" s="58" t="s">
        <v>25</v>
      </c>
      <c r="C19" s="59">
        <v>1285</v>
      </c>
      <c r="D19" s="70">
        <v>0.14516399999999999</v>
      </c>
      <c r="E19" s="59">
        <v>7567</v>
      </c>
      <c r="F19" s="70">
        <v>0.85483500000000001</v>
      </c>
      <c r="G19" s="59">
        <v>1102</v>
      </c>
      <c r="H19" s="70">
        <v>0.12649199999999999</v>
      </c>
      <c r="I19" s="59">
        <v>7610</v>
      </c>
      <c r="J19" s="70">
        <v>0.87350700000000003</v>
      </c>
      <c r="K19" s="59">
        <v>1074</v>
      </c>
      <c r="L19" s="70">
        <v>0.12548100000000001</v>
      </c>
      <c r="M19" s="59">
        <v>7485</v>
      </c>
      <c r="N19" s="70">
        <v>0.87451800000000002</v>
      </c>
      <c r="O19" s="59">
        <v>1070</v>
      </c>
      <c r="P19" s="70">
        <v>0.128189</v>
      </c>
      <c r="Q19" s="59">
        <v>7277</v>
      </c>
      <c r="R19" s="70">
        <v>0.87180999999999997</v>
      </c>
      <c r="S19" s="59">
        <v>1138</v>
      </c>
      <c r="T19" s="70">
        <v>0.133961</v>
      </c>
      <c r="U19" s="59">
        <v>7357</v>
      </c>
      <c r="V19" s="70">
        <v>0.86603799999999997</v>
      </c>
      <c r="W19" s="59">
        <v>1259</v>
      </c>
      <c r="X19" s="70">
        <v>0.14591999999999999</v>
      </c>
      <c r="Y19" s="59">
        <v>7369</v>
      </c>
      <c r="Z19" s="70">
        <v>0.85407900000000003</v>
      </c>
      <c r="AA19" s="59">
        <v>1367</v>
      </c>
      <c r="AB19" s="70">
        <v>0.15392400000000001</v>
      </c>
      <c r="AC19" s="59">
        <v>7514</v>
      </c>
      <c r="AD19" s="70">
        <v>0.84607500000000002</v>
      </c>
      <c r="AE19" s="59">
        <v>1378</v>
      </c>
      <c r="AF19" s="70">
        <v>0.154918</v>
      </c>
      <c r="AG19" s="59">
        <v>7517</v>
      </c>
      <c r="AH19" s="70">
        <v>0.84508099999999997</v>
      </c>
      <c r="AI19" s="59">
        <v>1327</v>
      </c>
      <c r="AJ19" s="70">
        <v>0.15038499999999999</v>
      </c>
      <c r="AK19" s="59">
        <v>7497</v>
      </c>
      <c r="AL19" s="70">
        <v>0.84961399999999998</v>
      </c>
      <c r="AM19" s="59">
        <v>1324</v>
      </c>
      <c r="AN19" s="70">
        <v>0.15035200000000001</v>
      </c>
      <c r="AO19" s="59">
        <v>7482</v>
      </c>
      <c r="AP19" s="70">
        <v>0.84964700000000004</v>
      </c>
    </row>
    <row r="20" spans="2:42" x14ac:dyDescent="0.2">
      <c r="B20" s="61" t="s">
        <v>26</v>
      </c>
      <c r="C20" s="62">
        <v>2823</v>
      </c>
      <c r="D20" s="72">
        <v>0.194824</v>
      </c>
      <c r="E20" s="62">
        <v>11667</v>
      </c>
      <c r="F20" s="72">
        <v>0.80517499999999997</v>
      </c>
      <c r="G20" s="62">
        <v>2897</v>
      </c>
      <c r="H20" s="72">
        <v>0.191854</v>
      </c>
      <c r="I20" s="62">
        <v>12203</v>
      </c>
      <c r="J20" s="72">
        <v>0.808145</v>
      </c>
      <c r="K20" s="62">
        <v>2776</v>
      </c>
      <c r="L20" s="72">
        <v>0.18013100000000001</v>
      </c>
      <c r="M20" s="62">
        <v>12635</v>
      </c>
      <c r="N20" s="72">
        <v>0.81986800000000004</v>
      </c>
      <c r="O20" s="62">
        <v>2764</v>
      </c>
      <c r="P20" s="72">
        <v>0.17443900000000001</v>
      </c>
      <c r="Q20" s="62">
        <v>13081</v>
      </c>
      <c r="R20" s="72">
        <v>0.82555999999999996</v>
      </c>
      <c r="S20" s="62">
        <v>2897</v>
      </c>
      <c r="T20" s="72">
        <v>0.180094</v>
      </c>
      <c r="U20" s="62">
        <v>13189</v>
      </c>
      <c r="V20" s="72">
        <v>0.81990499999999999</v>
      </c>
      <c r="W20" s="62">
        <v>3120</v>
      </c>
      <c r="X20" s="72">
        <v>0.18788299999999999</v>
      </c>
      <c r="Y20" s="62">
        <v>13486</v>
      </c>
      <c r="Z20" s="72">
        <v>0.81211599999999995</v>
      </c>
      <c r="AA20" s="62">
        <v>3374</v>
      </c>
      <c r="AB20" s="72">
        <v>0.19839999999999999</v>
      </c>
      <c r="AC20" s="62">
        <v>13632</v>
      </c>
      <c r="AD20" s="72">
        <v>0.80159899999999995</v>
      </c>
      <c r="AE20" s="62">
        <v>3510</v>
      </c>
      <c r="AF20" s="72">
        <v>0.20246800000000001</v>
      </c>
      <c r="AG20" s="62">
        <v>13826</v>
      </c>
      <c r="AH20" s="72">
        <v>0.79753099999999999</v>
      </c>
      <c r="AI20" s="62">
        <v>3537</v>
      </c>
      <c r="AJ20" s="72">
        <v>0.201515</v>
      </c>
      <c r="AK20" s="62">
        <v>14015</v>
      </c>
      <c r="AL20" s="72">
        <v>0.79848399999999997</v>
      </c>
      <c r="AM20" s="62">
        <v>3534</v>
      </c>
      <c r="AN20" s="72">
        <v>0.199762</v>
      </c>
      <c r="AO20" s="62">
        <v>14157</v>
      </c>
      <c r="AP20" s="72">
        <v>0.80023699999999998</v>
      </c>
    </row>
    <row r="21" spans="2:42" x14ac:dyDescent="0.2">
      <c r="B21" s="20" t="s">
        <v>27</v>
      </c>
      <c r="C21" s="21">
        <f>SUBTOTAL(109,'Non Traditonal Enrollment Trend'!$C$7:$C$20)</f>
        <v>22963</v>
      </c>
      <c r="D21" s="22">
        <f>'Non Traditonal Enrollment Trend'!$C$21/('Non Traditonal Enrollment Trend'!$C$21 +'Non Traditonal Enrollment Trend'!$E$21)</f>
        <v>0.19213809376385832</v>
      </c>
      <c r="E21" s="21">
        <f>SUBTOTAL(109,'Non Traditonal Enrollment Trend'!$E$7:$E$20)</f>
        <v>96550</v>
      </c>
      <c r="F21" s="22">
        <f>'Non Traditonal Enrollment Trend'!$E$21 / ('Non Traditonal Enrollment Trend'!$C$21 +'Non Traditonal Enrollment Trend'!$E$21)</f>
        <v>0.80786190623614162</v>
      </c>
      <c r="G21" s="21">
        <f>SUBTOTAL(109,'Non Traditonal Enrollment Trend'!$G$7:$G$20)</f>
        <v>21340</v>
      </c>
      <c r="H21" s="22">
        <f>'Non Traditonal Enrollment Trend'!$G$21 / ('Non Traditonal Enrollment Trend'!$G$21 +'Non Traditonal Enrollment Trend'!$I$21)</f>
        <v>0.180504804439031</v>
      </c>
      <c r="I21" s="21">
        <f>SUBTOTAL(109,'Non Traditonal Enrollment Trend'!$I$7:$I$20)</f>
        <v>96884</v>
      </c>
      <c r="J21" s="22">
        <f>'Non Traditonal Enrollment Trend'!$I$21/('Non Traditonal Enrollment Trend'!$I$21 + 'Non Traditonal Enrollment Trend'!$G$21)</f>
        <v>0.81949519556096906</v>
      </c>
      <c r="K21" s="21">
        <f>SUBTOTAL(109,'Non Traditonal Enrollment Trend'!$K$7:$K$20)</f>
        <v>19590</v>
      </c>
      <c r="L21" s="22">
        <f>'Non Traditonal Enrollment Trend'!$K$21 / ('Non Traditonal Enrollment Trend'!$K$21 + 'Non Traditonal Enrollment Trend'!$M$21)</f>
        <v>0.17081124441964285</v>
      </c>
      <c r="M21" s="21">
        <f>SUBTOTAL(109,'Non Traditonal Enrollment Trend'!$M$7:$M$20)</f>
        <v>95098</v>
      </c>
      <c r="N21" s="22">
        <f>'Non Traditonal Enrollment Trend'!$M$21 / ('Non Traditonal Enrollment Trend'!$M$21 + 'Non Traditonal Enrollment Trend'!$K$21)</f>
        <v>0.8291887555803571</v>
      </c>
      <c r="O21" s="21">
        <f>SUBTOTAL(109,'Non Traditonal Enrollment Trend'!$O$7:$O$20)</f>
        <v>18735</v>
      </c>
      <c r="P21" s="22">
        <f>'Non Traditonal Enrollment Trend'!$O$21 / ('Non Traditonal Enrollment Trend'!$O$21 +'Non Traditonal Enrollment Trend'!$Q$21)</f>
        <v>0.16694141234127868</v>
      </c>
      <c r="Q21" s="21">
        <f>SUBTOTAL(109,'Non Traditonal Enrollment Trend'!$Q$7:$Q$20)</f>
        <v>93490</v>
      </c>
      <c r="R21" s="22">
        <f>'Non Traditonal Enrollment Trend'!$Q$21 / ('Non Traditonal Enrollment Trend'!$Q$21 +'Non Traditonal Enrollment Trend'!$O$21)</f>
        <v>0.83305858765872132</v>
      </c>
      <c r="S21" s="21">
        <f>SUBTOTAL(109,'Non Traditonal Enrollment Trend'!$S$7:$S$20)</f>
        <v>18658</v>
      </c>
      <c r="T21" s="22">
        <f>'Non Traditonal Enrollment Trend'!$S$21 / ('Non Traditonal Enrollment Trend'!$S$21 +'Non Traditonal Enrollment Trend'!$U$21)</f>
        <v>0.16991476030890282</v>
      </c>
      <c r="U21" s="21">
        <f>SUBTOTAL(109,'Non Traditonal Enrollment Trend'!$U$7:$U$20)</f>
        <v>91150</v>
      </c>
      <c r="V21" s="22">
        <f>'Non Traditonal Enrollment Trend'!$U$21 / ( 'Non Traditonal Enrollment Trend'!$U$21 +'Non Traditonal Enrollment Trend'!$S$21)</f>
        <v>0.83008523969109715</v>
      </c>
      <c r="W21" s="21">
        <f>SUBTOTAL(109,'Non Traditonal Enrollment Trend'!$W$7:$W$20)</f>
        <v>18960</v>
      </c>
      <c r="X21" s="22">
        <f>'Non Traditonal Enrollment Trend'!$W$21 / ('Non Traditonal Enrollment Trend'!$W$21 + 'Non Traditonal Enrollment Trend'!$Y$21)</f>
        <v>0.1765379565917746</v>
      </c>
      <c r="Y21" s="21">
        <f>SUBTOTAL(109,'Non Traditonal Enrollment Trend'!$Y$7:$Y$20)</f>
        <v>88439</v>
      </c>
      <c r="Z21" s="22">
        <f>'Non Traditonal Enrollment Trend'!$Y$21 / ('Non Traditonal Enrollment Trend'!$Y$21 +'Non Traditonal Enrollment Trend'!$W$21)</f>
        <v>0.82346204340822537</v>
      </c>
      <c r="AA21" s="21">
        <f>SUBTOTAL(109,'Non Traditonal Enrollment Trend'!$AA$7:$AA$20)</f>
        <v>19510</v>
      </c>
      <c r="AB21" s="22">
        <f>'Non Traditonal Enrollment Trend'!$AA$21/( 'Non Traditonal Enrollment Trend'!$AA$21 +'Non Traditonal Enrollment Trend'!$AC$21)</f>
        <v>0.18572285314472295</v>
      </c>
      <c r="AC21" s="21">
        <f>SUBTOTAL(109,'Non Traditonal Enrollment Trend'!$AC$7:$AC$20)</f>
        <v>85539</v>
      </c>
      <c r="AD21" s="22">
        <f>'Non Traditonal Enrollment Trend'!$AC$21 / ('Non Traditonal Enrollment Trend'!$AC$21 + 'Non Traditonal Enrollment Trend'!$AA$21)</f>
        <v>0.81427714685527708</v>
      </c>
      <c r="AE21" s="21">
        <f>SUBTOTAL(109,'Non Traditonal Enrollment Trend'!$AE$7:$AE$20)</f>
        <v>19815</v>
      </c>
      <c r="AF21" s="22">
        <f>'Non Traditonal Enrollment Trend'!$AE$21 / ('Non Traditonal Enrollment Trend'!$AE$21 +'Non Traditonal Enrollment Trend'!$AG$21)</f>
        <v>0.19318137503412236</v>
      </c>
      <c r="AG21" s="21">
        <f>SUBTOTAL(109,'Non Traditonal Enrollment Trend'!$AG$7:$AG$20)</f>
        <v>82757</v>
      </c>
      <c r="AH21" s="22">
        <f>'Non Traditonal Enrollment Trend'!$AG$21 / ('Non Traditonal Enrollment Trend'!$AG$21 +'Non Traditonal Enrollment Trend'!$AE$21)</f>
        <v>0.80681862496587764</v>
      </c>
      <c r="AI21" s="21">
        <f>SUBTOTAL(109,'Non Traditonal Enrollment Trend'!$AI$7:$AI$20)</f>
        <v>19121</v>
      </c>
      <c r="AJ21" s="22">
        <f>'Non Traditonal Enrollment Trend'!$AI$21 / ('Non Traditonal Enrollment Trend'!$AI$21 +'Non Traditonal Enrollment Trend'!$AK$21)</f>
        <v>0.19439220031922572</v>
      </c>
      <c r="AK21" s="21">
        <f>SUBTOTAL(109,'Non Traditonal Enrollment Trend'!$AK$7:$AK$20)</f>
        <v>79242</v>
      </c>
      <c r="AL21" s="22">
        <f>'Non Traditonal Enrollment Trend'!$AK$21 / ('Non Traditonal Enrollment Trend'!$AK$21 +'Non Traditonal Enrollment Trend'!$AI$21)</f>
        <v>0.80560779968077423</v>
      </c>
      <c r="AM21" s="21">
        <f>SUBTOTAL(109,'Non Traditonal Enrollment Trend'!$AM$7:$AM$20)</f>
        <v>18769</v>
      </c>
      <c r="AN21" s="22">
        <f>'Non Traditonal Enrollment Trend'!$AM$21 / ('Non Traditonal Enrollment Trend'!$AM$21 +'Non Traditonal Enrollment Trend'!$AO$21)</f>
        <v>0.19591449030291644</v>
      </c>
      <c r="AO21" s="21">
        <f>SUBTOTAL(109,'Non Traditonal Enrollment Trend'!$AO$7:$AO$20)</f>
        <v>77033</v>
      </c>
      <c r="AP21" s="22">
        <f>'Non Traditonal Enrollment Trend'!$AO$21 / ('Non Traditonal Enrollment Trend'!$AO$21 +'Non Traditonal Enrollment Trend'!$AM$21)</f>
        <v>0.80408550969708359</v>
      </c>
    </row>
    <row r="24" spans="2:42" ht="15" x14ac:dyDescent="0.2">
      <c r="B24" s="131" t="s">
        <v>193</v>
      </c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</row>
    <row r="25" spans="2:42" x14ac:dyDescent="0.2">
      <c r="B25" s="134" t="s">
        <v>1</v>
      </c>
      <c r="C25" s="133" t="str">
        <f>CONCATENATE(IF(RIGHT(Parameters!B1,1) = "1","Fall ", "Spring "),IF(RIGHT(Parameters!B1,1) = "1",LEFT(Parameters!B1,4) -9, LEFT(Parameters!B1,4) - 8))</f>
        <v>Fall 2010</v>
      </c>
      <c r="D25" s="133"/>
      <c r="E25" s="133"/>
      <c r="F25" s="133"/>
      <c r="G25" s="133" t="str">
        <f>CONCATENATE(IF(RIGHT(Parameters!B1,1) = "1","Fall ", "Spring "),IF(RIGHT(Parameters!B1,1) = "1",LEFT(Parameters!B1,4) -8, LEFT(Parameters!B1,4) - 7))</f>
        <v>Fall 2011</v>
      </c>
      <c r="H25" s="133"/>
      <c r="I25" s="133"/>
      <c r="J25" s="133"/>
      <c r="K25" s="133" t="str">
        <f>CONCATENATE(IF(RIGHT(Parameters!B1,1) = "1","Fall ", "Spring "),IF(RIGHT(Parameters!B1,1) = "1",LEFT(Parameters!B1,4) -7, LEFT(Parameters!B1,4) - 6))</f>
        <v>Fall 2012</v>
      </c>
      <c r="L25" s="133"/>
      <c r="M25" s="133"/>
      <c r="N25" s="133"/>
      <c r="O25" s="133" t="str">
        <f>CONCATENATE(IF(RIGHT(Parameters!B1,1) = "1","Fall ", "Spring "),IF(RIGHT(Parameters!B1,1) = "1",LEFT(Parameters!B1,4) -6, LEFT(Parameters!B1,4) - 5))</f>
        <v>Fall 2013</v>
      </c>
      <c r="P25" s="133"/>
      <c r="Q25" s="133"/>
      <c r="R25" s="133"/>
      <c r="S25" s="133" t="str">
        <f>CONCATENATE(IF(RIGHT(Parameters!B1,1) = "1","Fall ", "Spring "),IF(RIGHT(Parameters!B1,1) = "1",LEFT(Parameters!B1,4) -5, LEFT(Parameters!B1,4) - 4))</f>
        <v>Fall 2014</v>
      </c>
      <c r="T25" s="133"/>
      <c r="U25" s="133"/>
      <c r="V25" s="133"/>
      <c r="W25" s="133" t="str">
        <f>CONCATENATE(IF(RIGHT(Parameters!B1,1) = "1","Fall ", "Spring "),IF(RIGHT(Parameters!B1,1) = "1",LEFT(Parameters!B1,4) -4, LEFT(Parameters!B1,4) - 3))</f>
        <v>Fall 2015</v>
      </c>
      <c r="X25" s="133"/>
      <c r="Y25" s="133"/>
      <c r="Z25" s="133"/>
      <c r="AA25" s="133" t="str">
        <f>CONCATENATE(IF(RIGHT(Parameters!B1,1) = "1","Fall ", "Spring "),IF(RIGHT(Parameters!B1,1) = "1",LEFT(Parameters!B1,4) -3, LEFT(Parameters!B1,4) -2 ))</f>
        <v>Fall 2016</v>
      </c>
      <c r="AB25" s="133"/>
      <c r="AC25" s="133"/>
      <c r="AD25" s="133"/>
      <c r="AE25" s="133" t="str">
        <f>CONCATENATE(IF(RIGHT(Parameters!B1,1) = "1","Fall ", "Spring "),IF(RIGHT(Parameters!B1,1) = "1",LEFT(Parameters!B1,4) -2, LEFT(Parameters!B1,4) -1 ))</f>
        <v>Fall 2017</v>
      </c>
      <c r="AF25" s="133"/>
      <c r="AG25" s="133"/>
      <c r="AH25" s="133"/>
      <c r="AI25" s="133" t="str">
        <f>CONCATENATE(IF(RIGHT(Parameters!B1,1) = "1","Fall ", "Spring "),IF(RIGHT(Parameters!B1,1) = "1",LEFT(Parameters!B1,4) -1, LEFT(Parameters!B1,4)  ))</f>
        <v>Fall 2018</v>
      </c>
      <c r="AJ25" s="133"/>
      <c r="AK25" s="133"/>
      <c r="AL25" s="133"/>
      <c r="AM25" s="133" t="str">
        <f>CONCATENATE(IF(RIGHT(Parameters!B1,1) = "1","Fall ", "Spring "),IF(RIGHT(Parameters!B1,1) = "1",LEFT(Parameters!B1,4), LEFT(Parameters!B1,4) + 1))</f>
        <v>Fall 2019</v>
      </c>
      <c r="AN25" s="133"/>
      <c r="AO25" s="133"/>
      <c r="AP25" s="133"/>
    </row>
    <row r="26" spans="2:42" x14ac:dyDescent="0.2">
      <c r="B26" s="136"/>
      <c r="C26" s="133" t="s">
        <v>159</v>
      </c>
      <c r="D26" s="133"/>
      <c r="E26" s="133" t="s">
        <v>160</v>
      </c>
      <c r="F26" s="133"/>
      <c r="G26" s="133" t="s">
        <v>159</v>
      </c>
      <c r="H26" s="133"/>
      <c r="I26" s="133" t="s">
        <v>160</v>
      </c>
      <c r="J26" s="133"/>
      <c r="K26" s="133" t="s">
        <v>159</v>
      </c>
      <c r="L26" s="133"/>
      <c r="M26" s="133" t="s">
        <v>160</v>
      </c>
      <c r="N26" s="133"/>
      <c r="O26" s="133" t="s">
        <v>159</v>
      </c>
      <c r="P26" s="133"/>
      <c r="Q26" s="133" t="s">
        <v>160</v>
      </c>
      <c r="R26" s="133"/>
      <c r="S26" s="133" t="s">
        <v>159</v>
      </c>
      <c r="T26" s="133"/>
      <c r="U26" s="133" t="s">
        <v>160</v>
      </c>
      <c r="V26" s="133"/>
      <c r="W26" s="133" t="s">
        <v>159</v>
      </c>
      <c r="X26" s="133"/>
      <c r="Y26" s="133" t="s">
        <v>160</v>
      </c>
      <c r="Z26" s="133"/>
      <c r="AA26" s="133" t="s">
        <v>159</v>
      </c>
      <c r="AB26" s="133"/>
      <c r="AC26" s="133" t="s">
        <v>160</v>
      </c>
      <c r="AD26" s="133"/>
      <c r="AE26" s="133" t="s">
        <v>159</v>
      </c>
      <c r="AF26" s="133"/>
      <c r="AG26" s="133" t="s">
        <v>160</v>
      </c>
      <c r="AH26" s="133"/>
      <c r="AI26" s="133" t="s">
        <v>159</v>
      </c>
      <c r="AJ26" s="133"/>
      <c r="AK26" s="133" t="s">
        <v>160</v>
      </c>
      <c r="AL26" s="133"/>
      <c r="AM26" s="133" t="s">
        <v>159</v>
      </c>
      <c r="AN26" s="133"/>
      <c r="AO26" s="133" t="s">
        <v>160</v>
      </c>
      <c r="AP26" s="133"/>
    </row>
    <row r="27" spans="2:42" x14ac:dyDescent="0.2">
      <c r="B27" s="135"/>
      <c r="C27" s="52" t="s">
        <v>161</v>
      </c>
      <c r="D27" s="52" t="s">
        <v>162</v>
      </c>
      <c r="E27" s="52" t="s">
        <v>161</v>
      </c>
      <c r="F27" s="52" t="s">
        <v>162</v>
      </c>
      <c r="G27" s="52" t="s">
        <v>161</v>
      </c>
      <c r="H27" s="52" t="s">
        <v>162</v>
      </c>
      <c r="I27" s="52" t="s">
        <v>161</v>
      </c>
      <c r="J27" s="52" t="s">
        <v>162</v>
      </c>
      <c r="K27" s="52" t="s">
        <v>161</v>
      </c>
      <c r="L27" s="52" t="s">
        <v>162</v>
      </c>
      <c r="M27" s="52" t="s">
        <v>161</v>
      </c>
      <c r="N27" s="52" t="s">
        <v>162</v>
      </c>
      <c r="O27" s="52" t="s">
        <v>161</v>
      </c>
      <c r="P27" s="52" t="s">
        <v>162</v>
      </c>
      <c r="Q27" s="52" t="s">
        <v>161</v>
      </c>
      <c r="R27" s="52" t="s">
        <v>162</v>
      </c>
      <c r="S27" s="52" t="s">
        <v>161</v>
      </c>
      <c r="T27" s="52" t="s">
        <v>162</v>
      </c>
      <c r="U27" s="52" t="s">
        <v>161</v>
      </c>
      <c r="V27" s="52" t="s">
        <v>162</v>
      </c>
      <c r="W27" s="52" t="s">
        <v>161</v>
      </c>
      <c r="X27" s="52" t="s">
        <v>162</v>
      </c>
      <c r="Y27" s="52" t="s">
        <v>161</v>
      </c>
      <c r="Z27" s="52" t="s">
        <v>162</v>
      </c>
      <c r="AA27" s="52" t="s">
        <v>161</v>
      </c>
      <c r="AB27" s="52" t="s">
        <v>162</v>
      </c>
      <c r="AC27" s="52" t="s">
        <v>161</v>
      </c>
      <c r="AD27" s="52" t="s">
        <v>162</v>
      </c>
      <c r="AE27" s="52" t="s">
        <v>161</v>
      </c>
      <c r="AF27" s="52" t="s">
        <v>162</v>
      </c>
      <c r="AG27" s="52" t="s">
        <v>161</v>
      </c>
      <c r="AH27" s="52" t="s">
        <v>162</v>
      </c>
      <c r="AI27" s="52" t="s">
        <v>161</v>
      </c>
      <c r="AJ27" s="52" t="s">
        <v>162</v>
      </c>
      <c r="AK27" s="52" t="s">
        <v>161</v>
      </c>
      <c r="AL27" s="52" t="s">
        <v>162</v>
      </c>
      <c r="AM27" s="52" t="s">
        <v>161</v>
      </c>
      <c r="AN27" s="52" t="s">
        <v>162</v>
      </c>
      <c r="AO27" s="52" t="s">
        <v>161</v>
      </c>
      <c r="AP27" s="52" t="s">
        <v>162</v>
      </c>
    </row>
    <row r="28" spans="2:42" ht="15.75" hidden="1" customHeight="1" thickBot="1" x14ac:dyDescent="0.25">
      <c r="B28" s="26" t="s">
        <v>2</v>
      </c>
      <c r="C28" s="26" t="s">
        <v>163</v>
      </c>
      <c r="D28" s="26" t="s">
        <v>164</v>
      </c>
      <c r="E28" s="26" t="s">
        <v>165</v>
      </c>
      <c r="F28" s="26" t="s">
        <v>139</v>
      </c>
      <c r="G28" s="26" t="s">
        <v>166</v>
      </c>
      <c r="H28" s="26" t="s">
        <v>167</v>
      </c>
      <c r="I28" s="26" t="s">
        <v>168</v>
      </c>
      <c r="J28" s="26" t="s">
        <v>140</v>
      </c>
      <c r="K28" s="26" t="s">
        <v>169</v>
      </c>
      <c r="L28" s="26" t="s">
        <v>170</v>
      </c>
      <c r="M28" s="26" t="s">
        <v>171</v>
      </c>
      <c r="N28" s="26" t="s">
        <v>141</v>
      </c>
      <c r="O28" s="26" t="s">
        <v>172</v>
      </c>
      <c r="P28" s="26" t="s">
        <v>173</v>
      </c>
      <c r="Q28" s="26" t="s">
        <v>174</v>
      </c>
      <c r="R28" s="26" t="s">
        <v>142</v>
      </c>
      <c r="S28" s="26" t="s">
        <v>175</v>
      </c>
      <c r="T28" s="26" t="s">
        <v>176</v>
      </c>
      <c r="U28" s="26" t="s">
        <v>177</v>
      </c>
      <c r="V28" s="26" t="s">
        <v>143</v>
      </c>
      <c r="W28" s="26" t="s">
        <v>178</v>
      </c>
      <c r="X28" s="26" t="s">
        <v>179</v>
      </c>
      <c r="Y28" s="26" t="s">
        <v>180</v>
      </c>
      <c r="Z28" s="26" t="s">
        <v>144</v>
      </c>
      <c r="AA28" s="26" t="s">
        <v>181</v>
      </c>
      <c r="AB28" s="26" t="s">
        <v>182</v>
      </c>
      <c r="AC28" s="26" t="s">
        <v>183</v>
      </c>
      <c r="AD28" s="26" t="s">
        <v>145</v>
      </c>
      <c r="AE28" s="26" t="s">
        <v>184</v>
      </c>
      <c r="AF28" s="26" t="s">
        <v>185</v>
      </c>
      <c r="AG28" s="26" t="s">
        <v>186</v>
      </c>
      <c r="AH28" s="26" t="s">
        <v>146</v>
      </c>
      <c r="AI28" s="26" t="s">
        <v>187</v>
      </c>
      <c r="AJ28" s="26" t="s">
        <v>188</v>
      </c>
      <c r="AK28" s="26" t="s">
        <v>189</v>
      </c>
      <c r="AL28" s="26" t="s">
        <v>148</v>
      </c>
      <c r="AM28" s="26" t="s">
        <v>190</v>
      </c>
      <c r="AN28" s="26" t="s">
        <v>191</v>
      </c>
      <c r="AO28" s="26" t="s">
        <v>192</v>
      </c>
      <c r="AP28" s="26" t="s">
        <v>149</v>
      </c>
    </row>
    <row r="29" spans="2:42" x14ac:dyDescent="0.2">
      <c r="B29" s="56" t="s">
        <v>13</v>
      </c>
      <c r="C29" s="57">
        <v>495</v>
      </c>
      <c r="D29" s="68">
        <v>5.4181E-2</v>
      </c>
      <c r="E29" s="57">
        <v>8641</v>
      </c>
      <c r="F29" s="68">
        <v>0.94581800000000005</v>
      </c>
      <c r="G29" s="57">
        <v>501</v>
      </c>
      <c r="H29" s="68">
        <v>5.4127000000000002E-2</v>
      </c>
      <c r="I29" s="57">
        <v>8755</v>
      </c>
      <c r="J29" s="68">
        <v>0.94587200000000005</v>
      </c>
      <c r="K29" s="57">
        <v>434</v>
      </c>
      <c r="L29" s="68">
        <v>4.7157999999999999E-2</v>
      </c>
      <c r="M29" s="57">
        <v>8769</v>
      </c>
      <c r="N29" s="68">
        <v>0.95284100000000005</v>
      </c>
      <c r="O29" s="57">
        <v>424</v>
      </c>
      <c r="P29" s="68">
        <v>4.5029E-2</v>
      </c>
      <c r="Q29" s="57">
        <v>8992</v>
      </c>
      <c r="R29" s="68">
        <v>0.95496999999999999</v>
      </c>
      <c r="S29" s="57">
        <v>437</v>
      </c>
      <c r="T29" s="68">
        <v>4.6892999999999997E-2</v>
      </c>
      <c r="U29" s="57">
        <v>8882</v>
      </c>
      <c r="V29" s="68">
        <v>0.95310600000000001</v>
      </c>
      <c r="W29" s="57">
        <v>442</v>
      </c>
      <c r="X29" s="68">
        <v>4.8263E-2</v>
      </c>
      <c r="Y29" s="57">
        <v>8716</v>
      </c>
      <c r="Z29" s="68">
        <v>0.95173600000000003</v>
      </c>
      <c r="AA29" s="57">
        <v>439</v>
      </c>
      <c r="AB29" s="68">
        <v>4.8804E-2</v>
      </c>
      <c r="AC29" s="57">
        <v>8556</v>
      </c>
      <c r="AD29" s="68">
        <v>0.95119500000000001</v>
      </c>
      <c r="AE29" s="57">
        <v>477</v>
      </c>
      <c r="AF29" s="68">
        <v>5.5426000000000003E-2</v>
      </c>
      <c r="AG29" s="57">
        <v>8129</v>
      </c>
      <c r="AH29" s="68">
        <v>0.944573</v>
      </c>
      <c r="AI29" s="57">
        <v>471</v>
      </c>
      <c r="AJ29" s="68">
        <v>5.7070000000000003E-2</v>
      </c>
      <c r="AK29" s="57">
        <v>7782</v>
      </c>
      <c r="AL29" s="68">
        <v>0.94292900000000002</v>
      </c>
      <c r="AM29" s="57">
        <v>438</v>
      </c>
      <c r="AN29" s="68">
        <v>5.4803999999999999E-2</v>
      </c>
      <c r="AO29" s="57">
        <v>7554</v>
      </c>
      <c r="AP29" s="68">
        <v>0.94519500000000001</v>
      </c>
    </row>
    <row r="30" spans="2:42" x14ac:dyDescent="0.2">
      <c r="B30" s="58" t="s">
        <v>14</v>
      </c>
      <c r="C30" s="59">
        <v>1381</v>
      </c>
      <c r="D30" s="70">
        <v>0.186143</v>
      </c>
      <c r="E30" s="59">
        <v>6038</v>
      </c>
      <c r="F30" s="70">
        <v>0.81385600000000002</v>
      </c>
      <c r="G30" s="59">
        <v>1405</v>
      </c>
      <c r="H30" s="70">
        <v>0.18942899999999999</v>
      </c>
      <c r="I30" s="59">
        <v>6012</v>
      </c>
      <c r="J30" s="70">
        <v>0.81057000000000001</v>
      </c>
      <c r="K30" s="59">
        <v>1279</v>
      </c>
      <c r="L30" s="70">
        <v>0.191438</v>
      </c>
      <c r="M30" s="59">
        <v>5402</v>
      </c>
      <c r="N30" s="70">
        <v>0.80856099999999997</v>
      </c>
      <c r="O30" s="59">
        <v>1184</v>
      </c>
      <c r="P30" s="70">
        <v>0.18356500000000001</v>
      </c>
      <c r="Q30" s="59">
        <v>5266</v>
      </c>
      <c r="R30" s="70">
        <v>0.81643399999999999</v>
      </c>
      <c r="S30" s="59">
        <v>1125</v>
      </c>
      <c r="T30" s="70">
        <v>0.18515400000000001</v>
      </c>
      <c r="U30" s="59">
        <v>4951</v>
      </c>
      <c r="V30" s="70">
        <v>0.81484500000000004</v>
      </c>
      <c r="W30" s="59">
        <v>1137</v>
      </c>
      <c r="X30" s="70">
        <v>0.19654199999999999</v>
      </c>
      <c r="Y30" s="59">
        <v>4648</v>
      </c>
      <c r="Z30" s="70">
        <v>0.80345699999999998</v>
      </c>
      <c r="AA30" s="59">
        <v>1200</v>
      </c>
      <c r="AB30" s="70">
        <v>0.21731200000000001</v>
      </c>
      <c r="AC30" s="59">
        <v>4322</v>
      </c>
      <c r="AD30" s="70">
        <v>0.78268700000000002</v>
      </c>
      <c r="AE30" s="59">
        <v>1316</v>
      </c>
      <c r="AF30" s="70">
        <v>0.236818</v>
      </c>
      <c r="AG30" s="59">
        <v>4241</v>
      </c>
      <c r="AH30" s="70">
        <v>0.763181</v>
      </c>
      <c r="AI30" s="59">
        <v>1209</v>
      </c>
      <c r="AJ30" s="70">
        <v>0.23366799999999999</v>
      </c>
      <c r="AK30" s="59">
        <v>3965</v>
      </c>
      <c r="AL30" s="70">
        <v>0.76633099999999998</v>
      </c>
      <c r="AM30" s="59">
        <v>1033</v>
      </c>
      <c r="AN30" s="70">
        <v>0.212726</v>
      </c>
      <c r="AO30" s="59">
        <v>3823</v>
      </c>
      <c r="AP30" s="70">
        <v>0.787273</v>
      </c>
    </row>
    <row r="31" spans="2:42" x14ac:dyDescent="0.2">
      <c r="B31" s="58" t="s">
        <v>15</v>
      </c>
      <c r="C31" s="59">
        <v>152</v>
      </c>
      <c r="D31" s="70">
        <v>0.100795</v>
      </c>
      <c r="E31" s="59">
        <v>1356</v>
      </c>
      <c r="F31" s="70">
        <v>0.899204</v>
      </c>
      <c r="G31" s="59">
        <v>120</v>
      </c>
      <c r="H31" s="70">
        <v>0.10517</v>
      </c>
      <c r="I31" s="59">
        <v>1021</v>
      </c>
      <c r="J31" s="70">
        <v>0.89482899999999999</v>
      </c>
      <c r="K31" s="59">
        <v>150</v>
      </c>
      <c r="L31" s="70">
        <v>0.12254900000000001</v>
      </c>
      <c r="M31" s="59">
        <v>1074</v>
      </c>
      <c r="N31" s="70">
        <v>0.87744999999999995</v>
      </c>
      <c r="O31" s="59">
        <v>128</v>
      </c>
      <c r="P31" s="70">
        <v>0.108566</v>
      </c>
      <c r="Q31" s="59">
        <v>1051</v>
      </c>
      <c r="R31" s="70">
        <v>0.89143300000000003</v>
      </c>
      <c r="S31" s="59">
        <v>114</v>
      </c>
      <c r="T31" s="70">
        <v>0.114343</v>
      </c>
      <c r="U31" s="59">
        <v>883</v>
      </c>
      <c r="V31" s="70">
        <v>0.885656</v>
      </c>
      <c r="W31" s="59">
        <v>86</v>
      </c>
      <c r="X31" s="70">
        <v>0.125364</v>
      </c>
      <c r="Y31" s="59">
        <v>600</v>
      </c>
      <c r="Z31" s="70">
        <v>0.87463500000000005</v>
      </c>
      <c r="AA31" s="59">
        <v>88</v>
      </c>
      <c r="AB31" s="70">
        <v>0.12411800000000001</v>
      </c>
      <c r="AC31" s="59">
        <v>621</v>
      </c>
      <c r="AD31" s="70">
        <v>0.87588100000000002</v>
      </c>
      <c r="AE31" s="59">
        <v>77</v>
      </c>
      <c r="AF31" s="70">
        <v>0.1065</v>
      </c>
      <c r="AG31" s="59">
        <v>646</v>
      </c>
      <c r="AH31" s="70">
        <v>0.89349900000000004</v>
      </c>
      <c r="AI31" s="59">
        <v>62</v>
      </c>
      <c r="AJ31" s="70">
        <v>0.13219600000000001</v>
      </c>
      <c r="AK31" s="59">
        <v>407</v>
      </c>
      <c r="AL31" s="70">
        <v>0.86780299999999999</v>
      </c>
      <c r="AM31" s="59">
        <v>68</v>
      </c>
      <c r="AN31" s="70">
        <v>0.110032</v>
      </c>
      <c r="AO31" s="59">
        <v>550</v>
      </c>
      <c r="AP31" s="70">
        <v>0.88996699999999995</v>
      </c>
    </row>
    <row r="32" spans="2:42" x14ac:dyDescent="0.2">
      <c r="B32" s="58" t="s">
        <v>16</v>
      </c>
      <c r="C32" s="59">
        <v>972</v>
      </c>
      <c r="D32" s="70">
        <v>0.15614400000000001</v>
      </c>
      <c r="E32" s="59">
        <v>5253</v>
      </c>
      <c r="F32" s="70">
        <v>0.84385500000000002</v>
      </c>
      <c r="G32" s="59">
        <v>965</v>
      </c>
      <c r="H32" s="70">
        <v>0.16422700000000001</v>
      </c>
      <c r="I32" s="59">
        <v>4911</v>
      </c>
      <c r="J32" s="70">
        <v>0.83577199999999996</v>
      </c>
      <c r="K32" s="59">
        <v>883</v>
      </c>
      <c r="L32" s="70">
        <v>0.160021</v>
      </c>
      <c r="M32" s="59">
        <v>4635</v>
      </c>
      <c r="N32" s="70">
        <v>0.839978</v>
      </c>
      <c r="O32" s="59">
        <v>859</v>
      </c>
      <c r="P32" s="70">
        <v>0.16522400000000001</v>
      </c>
      <c r="Q32" s="59">
        <v>4340</v>
      </c>
      <c r="R32" s="70">
        <v>0.83477500000000004</v>
      </c>
      <c r="S32" s="59">
        <v>846</v>
      </c>
      <c r="T32" s="70">
        <v>0.17244100000000001</v>
      </c>
      <c r="U32" s="59">
        <v>4060</v>
      </c>
      <c r="V32" s="70">
        <v>0.82755800000000002</v>
      </c>
      <c r="W32" s="59">
        <v>798</v>
      </c>
      <c r="X32" s="70">
        <v>0.17519199999999999</v>
      </c>
      <c r="Y32" s="59">
        <v>3757</v>
      </c>
      <c r="Z32" s="70">
        <v>0.82480699999999996</v>
      </c>
      <c r="AA32" s="59">
        <v>825</v>
      </c>
      <c r="AB32" s="70">
        <v>0.19053100000000001</v>
      </c>
      <c r="AC32" s="59">
        <v>3505</v>
      </c>
      <c r="AD32" s="70">
        <v>0.80946799999999997</v>
      </c>
      <c r="AE32" s="59">
        <v>862</v>
      </c>
      <c r="AF32" s="70">
        <v>0.19949</v>
      </c>
      <c r="AG32" s="59">
        <v>3459</v>
      </c>
      <c r="AH32" s="70">
        <v>0.80050900000000003</v>
      </c>
      <c r="AI32" s="59">
        <v>793</v>
      </c>
      <c r="AJ32" s="70">
        <v>0.20116600000000001</v>
      </c>
      <c r="AK32" s="59">
        <v>3149</v>
      </c>
      <c r="AL32" s="70">
        <v>0.79883300000000002</v>
      </c>
      <c r="AM32" s="59">
        <v>686</v>
      </c>
      <c r="AN32" s="70">
        <v>0.181673</v>
      </c>
      <c r="AO32" s="59">
        <v>3090</v>
      </c>
      <c r="AP32" s="70">
        <v>0.818326</v>
      </c>
    </row>
    <row r="33" spans="2:42" x14ac:dyDescent="0.2">
      <c r="B33" s="58" t="s">
        <v>17</v>
      </c>
      <c r="C33" s="59">
        <v>589</v>
      </c>
      <c r="D33" s="70">
        <v>9.2435000000000003E-2</v>
      </c>
      <c r="E33" s="59">
        <v>5783</v>
      </c>
      <c r="F33" s="70">
        <v>0.90756400000000004</v>
      </c>
      <c r="G33" s="59">
        <v>609</v>
      </c>
      <c r="H33" s="70">
        <v>9.1495999999999994E-2</v>
      </c>
      <c r="I33" s="59">
        <v>6047</v>
      </c>
      <c r="J33" s="70">
        <v>0.90850299999999995</v>
      </c>
      <c r="K33" s="59">
        <v>539</v>
      </c>
      <c r="L33" s="70">
        <v>8.4815000000000002E-2</v>
      </c>
      <c r="M33" s="59">
        <v>5816</v>
      </c>
      <c r="N33" s="70">
        <v>0.915184</v>
      </c>
      <c r="O33" s="59">
        <v>534</v>
      </c>
      <c r="P33" s="70">
        <v>8.6322999999999997E-2</v>
      </c>
      <c r="Q33" s="59">
        <v>5652</v>
      </c>
      <c r="R33" s="70">
        <v>0.91367600000000004</v>
      </c>
      <c r="S33" s="59">
        <v>573</v>
      </c>
      <c r="T33" s="70">
        <v>9.2358999999999997E-2</v>
      </c>
      <c r="U33" s="59">
        <v>5631</v>
      </c>
      <c r="V33" s="70">
        <v>0.90764</v>
      </c>
      <c r="W33" s="59">
        <v>629</v>
      </c>
      <c r="X33" s="70">
        <v>0.101994</v>
      </c>
      <c r="Y33" s="59">
        <v>5538</v>
      </c>
      <c r="Z33" s="70">
        <v>0.89800500000000005</v>
      </c>
      <c r="AA33" s="59">
        <v>583</v>
      </c>
      <c r="AB33" s="70">
        <v>9.4658000000000006E-2</v>
      </c>
      <c r="AC33" s="59">
        <v>5576</v>
      </c>
      <c r="AD33" s="70">
        <v>0.90534099999999995</v>
      </c>
      <c r="AE33" s="59">
        <v>579</v>
      </c>
      <c r="AF33" s="70">
        <v>9.5685999999999993E-2</v>
      </c>
      <c r="AG33" s="59">
        <v>5472</v>
      </c>
      <c r="AH33" s="70">
        <v>0.90431300000000003</v>
      </c>
      <c r="AI33" s="59">
        <v>539</v>
      </c>
      <c r="AJ33" s="70">
        <v>9.4345999999999999E-2</v>
      </c>
      <c r="AK33" s="59">
        <v>5174</v>
      </c>
      <c r="AL33" s="70">
        <v>0.90565300000000004</v>
      </c>
      <c r="AM33" s="59">
        <v>507</v>
      </c>
      <c r="AN33" s="70">
        <v>9.3593999999999997E-2</v>
      </c>
      <c r="AO33" s="59">
        <v>4910</v>
      </c>
      <c r="AP33" s="70">
        <v>0.90640500000000002</v>
      </c>
    </row>
    <row r="34" spans="2:42" x14ac:dyDescent="0.2">
      <c r="B34" s="58" t="s">
        <v>18</v>
      </c>
      <c r="C34" s="59">
        <v>1184</v>
      </c>
      <c r="D34" s="70">
        <v>0.17679500000000001</v>
      </c>
      <c r="E34" s="59">
        <v>5513</v>
      </c>
      <c r="F34" s="70">
        <v>0.82320400000000005</v>
      </c>
      <c r="G34" s="59">
        <v>1055</v>
      </c>
      <c r="H34" s="70">
        <v>0.15867000000000001</v>
      </c>
      <c r="I34" s="59">
        <v>5594</v>
      </c>
      <c r="J34" s="70">
        <v>0.84132899999999999</v>
      </c>
      <c r="K34" s="59">
        <v>866</v>
      </c>
      <c r="L34" s="70">
        <v>0.14219999999999999</v>
      </c>
      <c r="M34" s="59">
        <v>5224</v>
      </c>
      <c r="N34" s="70">
        <v>0.85779899999999998</v>
      </c>
      <c r="O34" s="59">
        <v>780</v>
      </c>
      <c r="P34" s="70">
        <v>0.13301499999999999</v>
      </c>
      <c r="Q34" s="59">
        <v>5084</v>
      </c>
      <c r="R34" s="70">
        <v>0.86698399999999998</v>
      </c>
      <c r="S34" s="59">
        <v>731</v>
      </c>
      <c r="T34" s="70">
        <v>0.13065199999999999</v>
      </c>
      <c r="U34" s="59">
        <v>4864</v>
      </c>
      <c r="V34" s="70">
        <v>0.86934699999999998</v>
      </c>
      <c r="W34" s="59">
        <v>687</v>
      </c>
      <c r="X34" s="70">
        <v>0.13093099999999999</v>
      </c>
      <c r="Y34" s="59">
        <v>4560</v>
      </c>
      <c r="Z34" s="70">
        <v>0.86906799999999995</v>
      </c>
      <c r="AA34" s="59">
        <v>663</v>
      </c>
      <c r="AB34" s="70">
        <v>0.13698299999999999</v>
      </c>
      <c r="AC34" s="59">
        <v>4177</v>
      </c>
      <c r="AD34" s="70">
        <v>0.86301600000000001</v>
      </c>
      <c r="AE34" s="59">
        <v>584</v>
      </c>
      <c r="AF34" s="70">
        <v>0.136098</v>
      </c>
      <c r="AG34" s="59">
        <v>3707</v>
      </c>
      <c r="AH34" s="70">
        <v>0.86390100000000003</v>
      </c>
      <c r="AI34" s="59">
        <v>463</v>
      </c>
      <c r="AJ34" s="70">
        <v>0.12961900000000001</v>
      </c>
      <c r="AK34" s="59">
        <v>3109</v>
      </c>
      <c r="AL34" s="70">
        <v>0.87038000000000004</v>
      </c>
      <c r="AM34" s="59">
        <v>423</v>
      </c>
      <c r="AN34" s="70">
        <v>0.124448</v>
      </c>
      <c r="AO34" s="59">
        <v>2976</v>
      </c>
      <c r="AP34" s="70">
        <v>0.87555099999999997</v>
      </c>
    </row>
    <row r="35" spans="2:42" x14ac:dyDescent="0.2">
      <c r="B35" s="58" t="s">
        <v>19</v>
      </c>
      <c r="C35" s="59">
        <v>1056</v>
      </c>
      <c r="D35" s="70">
        <v>8.2325999999999996E-2</v>
      </c>
      <c r="E35" s="59">
        <v>11771</v>
      </c>
      <c r="F35" s="70">
        <v>0.91767299999999996</v>
      </c>
      <c r="G35" s="59">
        <v>914</v>
      </c>
      <c r="H35" s="70">
        <v>7.0616999999999999E-2</v>
      </c>
      <c r="I35" s="59">
        <v>12029</v>
      </c>
      <c r="J35" s="70">
        <v>0.92938200000000004</v>
      </c>
      <c r="K35" s="59">
        <v>885</v>
      </c>
      <c r="L35" s="70">
        <v>6.6666000000000003E-2</v>
      </c>
      <c r="M35" s="59">
        <v>12390</v>
      </c>
      <c r="N35" s="70">
        <v>0.93333299999999997</v>
      </c>
      <c r="O35" s="59">
        <v>811</v>
      </c>
      <c r="P35" s="70">
        <v>6.4019000000000006E-2</v>
      </c>
      <c r="Q35" s="59">
        <v>11857</v>
      </c>
      <c r="R35" s="70">
        <v>0.93598000000000003</v>
      </c>
      <c r="S35" s="59">
        <v>800</v>
      </c>
      <c r="T35" s="70">
        <v>6.4870999999999998E-2</v>
      </c>
      <c r="U35" s="59">
        <v>11532</v>
      </c>
      <c r="V35" s="70">
        <v>0.93512799999999996</v>
      </c>
      <c r="W35" s="59">
        <v>841</v>
      </c>
      <c r="X35" s="70">
        <v>7.1289000000000005E-2</v>
      </c>
      <c r="Y35" s="59">
        <v>10956</v>
      </c>
      <c r="Z35" s="70">
        <v>0.92871000000000004</v>
      </c>
      <c r="AA35" s="59">
        <v>769</v>
      </c>
      <c r="AB35" s="70">
        <v>7.0685999999999999E-2</v>
      </c>
      <c r="AC35" s="59">
        <v>10110</v>
      </c>
      <c r="AD35" s="70">
        <v>0.92931299999999994</v>
      </c>
      <c r="AE35" s="59">
        <v>777</v>
      </c>
      <c r="AF35" s="70">
        <v>7.4789999999999995E-2</v>
      </c>
      <c r="AG35" s="59">
        <v>9612</v>
      </c>
      <c r="AH35" s="70">
        <v>0.92520899999999995</v>
      </c>
      <c r="AI35" s="59">
        <v>716</v>
      </c>
      <c r="AJ35" s="70">
        <v>7.5599E-2</v>
      </c>
      <c r="AK35" s="59">
        <v>8755</v>
      </c>
      <c r="AL35" s="70">
        <v>0.9244</v>
      </c>
      <c r="AM35" s="59">
        <v>683</v>
      </c>
      <c r="AN35" s="70">
        <v>7.9724000000000003E-2</v>
      </c>
      <c r="AO35" s="59">
        <v>7884</v>
      </c>
      <c r="AP35" s="70">
        <v>0.92027499999999995</v>
      </c>
    </row>
    <row r="36" spans="2:42" x14ac:dyDescent="0.2">
      <c r="B36" s="58" t="s">
        <v>20</v>
      </c>
      <c r="C36" s="59">
        <v>808</v>
      </c>
      <c r="D36" s="70">
        <v>8.3084000000000005E-2</v>
      </c>
      <c r="E36" s="59">
        <v>8917</v>
      </c>
      <c r="F36" s="70">
        <v>0.91691500000000004</v>
      </c>
      <c r="G36" s="59">
        <v>704</v>
      </c>
      <c r="H36" s="70">
        <v>7.4214000000000002E-2</v>
      </c>
      <c r="I36" s="59">
        <v>8782</v>
      </c>
      <c r="J36" s="70">
        <v>0.92578499999999997</v>
      </c>
      <c r="K36" s="59">
        <v>617</v>
      </c>
      <c r="L36" s="70">
        <v>6.7542000000000005E-2</v>
      </c>
      <c r="M36" s="59">
        <v>8518</v>
      </c>
      <c r="N36" s="70">
        <v>0.93245699999999998</v>
      </c>
      <c r="O36" s="59">
        <v>531</v>
      </c>
      <c r="P36" s="70">
        <v>6.0238E-2</v>
      </c>
      <c r="Q36" s="59">
        <v>8284</v>
      </c>
      <c r="R36" s="70">
        <v>0.93976099999999996</v>
      </c>
      <c r="S36" s="59">
        <v>500</v>
      </c>
      <c r="T36" s="70">
        <v>5.8396999999999998E-2</v>
      </c>
      <c r="U36" s="59">
        <v>8062</v>
      </c>
      <c r="V36" s="70">
        <v>0.94160200000000005</v>
      </c>
      <c r="W36" s="59">
        <v>486</v>
      </c>
      <c r="X36" s="70">
        <v>5.8603000000000002E-2</v>
      </c>
      <c r="Y36" s="59">
        <v>7807</v>
      </c>
      <c r="Z36" s="70">
        <v>0.94139600000000001</v>
      </c>
      <c r="AA36" s="59">
        <v>455</v>
      </c>
      <c r="AB36" s="70">
        <v>5.8952999999999998E-2</v>
      </c>
      <c r="AC36" s="59">
        <v>7263</v>
      </c>
      <c r="AD36" s="70">
        <v>0.94104600000000005</v>
      </c>
      <c r="AE36" s="59">
        <v>449</v>
      </c>
      <c r="AF36" s="70">
        <v>5.9954E-2</v>
      </c>
      <c r="AG36" s="59">
        <v>7040</v>
      </c>
      <c r="AH36" s="70">
        <v>0.94004500000000002</v>
      </c>
      <c r="AI36" s="59">
        <v>425</v>
      </c>
      <c r="AJ36" s="70">
        <v>5.7501999999999998E-2</v>
      </c>
      <c r="AK36" s="59">
        <v>6966</v>
      </c>
      <c r="AL36" s="70">
        <v>0.94249700000000003</v>
      </c>
      <c r="AM36" s="59">
        <v>616</v>
      </c>
      <c r="AN36" s="70">
        <v>8.5508000000000001E-2</v>
      </c>
      <c r="AO36" s="59">
        <v>6588</v>
      </c>
      <c r="AP36" s="70">
        <v>0.91449100000000005</v>
      </c>
    </row>
    <row r="37" spans="2:42" x14ac:dyDescent="0.2">
      <c r="B37" s="58" t="s">
        <v>21</v>
      </c>
      <c r="C37" s="59">
        <v>484</v>
      </c>
      <c r="D37" s="70">
        <v>9.4622999999999999E-2</v>
      </c>
      <c r="E37" s="59">
        <v>4631</v>
      </c>
      <c r="F37" s="70">
        <v>0.90537599999999996</v>
      </c>
      <c r="G37" s="59">
        <v>456</v>
      </c>
      <c r="H37" s="70">
        <v>9.0674000000000005E-2</v>
      </c>
      <c r="I37" s="59">
        <v>4573</v>
      </c>
      <c r="J37" s="70">
        <v>0.90932500000000005</v>
      </c>
      <c r="K37" s="59">
        <v>393</v>
      </c>
      <c r="L37" s="70">
        <v>7.9089999999999994E-2</v>
      </c>
      <c r="M37" s="59">
        <v>4576</v>
      </c>
      <c r="N37" s="70">
        <v>0.92090899999999998</v>
      </c>
      <c r="O37" s="59">
        <v>425</v>
      </c>
      <c r="P37" s="70">
        <v>8.7538000000000005E-2</v>
      </c>
      <c r="Q37" s="59">
        <v>4430</v>
      </c>
      <c r="R37" s="70">
        <v>0.91246099999999997</v>
      </c>
      <c r="S37" s="59">
        <v>397</v>
      </c>
      <c r="T37" s="70">
        <v>8.7812000000000001E-2</v>
      </c>
      <c r="U37" s="59">
        <v>4124</v>
      </c>
      <c r="V37" s="70">
        <v>0.91218699999999997</v>
      </c>
      <c r="W37" s="59">
        <v>380</v>
      </c>
      <c r="X37" s="70">
        <v>9.0047000000000002E-2</v>
      </c>
      <c r="Y37" s="59">
        <v>3840</v>
      </c>
      <c r="Z37" s="70">
        <v>0.90995199999999998</v>
      </c>
      <c r="AA37" s="59">
        <v>346</v>
      </c>
      <c r="AB37" s="70">
        <v>8.9985999999999997E-2</v>
      </c>
      <c r="AC37" s="59">
        <v>3499</v>
      </c>
      <c r="AD37" s="70">
        <v>0.91001299999999996</v>
      </c>
      <c r="AE37" s="59">
        <v>322</v>
      </c>
      <c r="AF37" s="70">
        <v>9.2741000000000004E-2</v>
      </c>
      <c r="AG37" s="59">
        <v>3150</v>
      </c>
      <c r="AH37" s="70">
        <v>0.90725800000000001</v>
      </c>
      <c r="AI37" s="59">
        <v>290</v>
      </c>
      <c r="AJ37" s="70">
        <v>9.4553999999999999E-2</v>
      </c>
      <c r="AK37" s="59">
        <v>2777</v>
      </c>
      <c r="AL37" s="70">
        <v>0.90544500000000006</v>
      </c>
      <c r="AM37" s="59">
        <v>288</v>
      </c>
      <c r="AN37" s="70">
        <v>0.10465099999999999</v>
      </c>
      <c r="AO37" s="59">
        <v>2464</v>
      </c>
      <c r="AP37" s="70">
        <v>0.89534800000000003</v>
      </c>
    </row>
    <row r="38" spans="2:42" x14ac:dyDescent="0.2">
      <c r="B38" s="58" t="s">
        <v>22</v>
      </c>
      <c r="C38" s="59">
        <v>404</v>
      </c>
      <c r="D38" s="70">
        <v>0.137181</v>
      </c>
      <c r="E38" s="59">
        <v>2541</v>
      </c>
      <c r="F38" s="70">
        <v>0.86281799999999997</v>
      </c>
      <c r="G38" s="59">
        <v>367</v>
      </c>
      <c r="H38" s="70">
        <v>0.127607</v>
      </c>
      <c r="I38" s="59">
        <v>2509</v>
      </c>
      <c r="J38" s="70">
        <v>0.87239199999999995</v>
      </c>
      <c r="K38" s="59">
        <v>361</v>
      </c>
      <c r="L38" s="70">
        <v>0.127832</v>
      </c>
      <c r="M38" s="59">
        <v>2463</v>
      </c>
      <c r="N38" s="70">
        <v>0.87216700000000003</v>
      </c>
      <c r="O38" s="59">
        <v>329</v>
      </c>
      <c r="P38" s="70">
        <v>0.121089</v>
      </c>
      <c r="Q38" s="59">
        <v>2388</v>
      </c>
      <c r="R38" s="70">
        <v>0.87890999999999997</v>
      </c>
      <c r="S38" s="59">
        <v>312</v>
      </c>
      <c r="T38" s="70">
        <v>0.120603</v>
      </c>
      <c r="U38" s="59">
        <v>2275</v>
      </c>
      <c r="V38" s="70">
        <v>0.87939599999999996</v>
      </c>
      <c r="W38" s="59">
        <v>257</v>
      </c>
      <c r="X38" s="70">
        <v>0.113315</v>
      </c>
      <c r="Y38" s="59">
        <v>2011</v>
      </c>
      <c r="Z38" s="70">
        <v>0.88668400000000003</v>
      </c>
      <c r="AA38" s="59">
        <v>229</v>
      </c>
      <c r="AB38" s="70">
        <v>0.10796699999999999</v>
      </c>
      <c r="AC38" s="59">
        <v>1892</v>
      </c>
      <c r="AD38" s="70">
        <v>0.89203200000000005</v>
      </c>
      <c r="AE38" s="59">
        <v>220</v>
      </c>
      <c r="AF38" s="70">
        <v>0.118216</v>
      </c>
      <c r="AG38" s="59">
        <v>1641</v>
      </c>
      <c r="AH38" s="70">
        <v>0.88178299999999998</v>
      </c>
      <c r="AI38" s="59">
        <v>190</v>
      </c>
      <c r="AJ38" s="70">
        <v>0.117866</v>
      </c>
      <c r="AK38" s="59">
        <v>1422</v>
      </c>
      <c r="AL38" s="70">
        <v>0.88213299999999994</v>
      </c>
      <c r="AM38" s="59">
        <v>183</v>
      </c>
      <c r="AN38" s="70">
        <v>0.11024</v>
      </c>
      <c r="AO38" s="59">
        <v>1477</v>
      </c>
      <c r="AP38" s="70">
        <v>0.88975899999999997</v>
      </c>
    </row>
    <row r="39" spans="2:42" x14ac:dyDescent="0.2">
      <c r="B39" s="58" t="s">
        <v>23</v>
      </c>
      <c r="C39" s="59">
        <v>749</v>
      </c>
      <c r="D39" s="70">
        <v>9.8500000000000004E-2</v>
      </c>
      <c r="E39" s="59">
        <v>6855</v>
      </c>
      <c r="F39" s="70">
        <v>0.90149900000000005</v>
      </c>
      <c r="G39" s="59">
        <v>782</v>
      </c>
      <c r="H39" s="70">
        <v>0.102302</v>
      </c>
      <c r="I39" s="59">
        <v>6862</v>
      </c>
      <c r="J39" s="70">
        <v>0.89769699999999997</v>
      </c>
      <c r="K39" s="59">
        <v>774</v>
      </c>
      <c r="L39" s="70">
        <v>0.104256</v>
      </c>
      <c r="M39" s="59">
        <v>6650</v>
      </c>
      <c r="N39" s="70">
        <v>0.89574299999999996</v>
      </c>
      <c r="O39" s="59">
        <v>788</v>
      </c>
      <c r="P39" s="70">
        <v>0.106659</v>
      </c>
      <c r="Q39" s="59">
        <v>6600</v>
      </c>
      <c r="R39" s="70">
        <v>0.89334000000000002</v>
      </c>
      <c r="S39" s="59">
        <v>745</v>
      </c>
      <c r="T39" s="70">
        <v>0.10389</v>
      </c>
      <c r="U39" s="59">
        <v>6426</v>
      </c>
      <c r="V39" s="70">
        <v>0.89610900000000004</v>
      </c>
      <c r="W39" s="59">
        <v>752</v>
      </c>
      <c r="X39" s="70">
        <v>0.106154</v>
      </c>
      <c r="Y39" s="59">
        <v>6332</v>
      </c>
      <c r="Z39" s="70">
        <v>0.893845</v>
      </c>
      <c r="AA39" s="59">
        <v>847</v>
      </c>
      <c r="AB39" s="70">
        <v>0.121346</v>
      </c>
      <c r="AC39" s="59">
        <v>6133</v>
      </c>
      <c r="AD39" s="70">
        <v>0.87865300000000002</v>
      </c>
      <c r="AE39" s="59">
        <v>778</v>
      </c>
      <c r="AF39" s="70">
        <v>0.114783</v>
      </c>
      <c r="AG39" s="59">
        <v>6000</v>
      </c>
      <c r="AH39" s="70">
        <v>0.885216</v>
      </c>
      <c r="AI39" s="59">
        <v>807</v>
      </c>
      <c r="AJ39" s="70">
        <v>0.119044</v>
      </c>
      <c r="AK39" s="59">
        <v>5972</v>
      </c>
      <c r="AL39" s="70">
        <v>0.88095500000000004</v>
      </c>
      <c r="AM39" s="59">
        <v>772</v>
      </c>
      <c r="AN39" s="70">
        <v>0.11362899999999999</v>
      </c>
      <c r="AO39" s="59">
        <v>6022</v>
      </c>
      <c r="AP39" s="70">
        <v>0.88636999999999999</v>
      </c>
    </row>
    <row r="40" spans="2:42" x14ac:dyDescent="0.2">
      <c r="B40" s="58" t="s">
        <v>24</v>
      </c>
      <c r="C40" s="59">
        <v>467</v>
      </c>
      <c r="D40" s="70">
        <v>6.5378000000000006E-2</v>
      </c>
      <c r="E40" s="59">
        <v>6676</v>
      </c>
      <c r="F40" s="70">
        <v>0.93462100000000004</v>
      </c>
      <c r="G40" s="59">
        <v>426</v>
      </c>
      <c r="H40" s="70">
        <v>5.9729999999999998E-2</v>
      </c>
      <c r="I40" s="59">
        <v>6706</v>
      </c>
      <c r="J40" s="70">
        <v>0.94026900000000002</v>
      </c>
      <c r="K40" s="59">
        <v>398</v>
      </c>
      <c r="L40" s="70">
        <v>5.9296000000000001E-2</v>
      </c>
      <c r="M40" s="59">
        <v>6314</v>
      </c>
      <c r="N40" s="70">
        <v>0.94070299999999996</v>
      </c>
      <c r="O40" s="59">
        <v>376</v>
      </c>
      <c r="P40" s="70">
        <v>5.7403999999999997E-2</v>
      </c>
      <c r="Q40" s="59">
        <v>6174</v>
      </c>
      <c r="R40" s="70">
        <v>0.94259499999999996</v>
      </c>
      <c r="S40" s="59">
        <v>367</v>
      </c>
      <c r="T40" s="70">
        <v>5.8207000000000002E-2</v>
      </c>
      <c r="U40" s="59">
        <v>5938</v>
      </c>
      <c r="V40" s="70">
        <v>0.94179199999999996</v>
      </c>
      <c r="W40" s="59">
        <v>315</v>
      </c>
      <c r="X40" s="70">
        <v>5.2263999999999998E-2</v>
      </c>
      <c r="Y40" s="59">
        <v>5712</v>
      </c>
      <c r="Z40" s="70">
        <v>0.94773499999999999</v>
      </c>
      <c r="AA40" s="59">
        <v>328</v>
      </c>
      <c r="AB40" s="70">
        <v>5.5480000000000002E-2</v>
      </c>
      <c r="AC40" s="59">
        <v>5584</v>
      </c>
      <c r="AD40" s="70">
        <v>0.944519</v>
      </c>
      <c r="AE40" s="59">
        <v>322</v>
      </c>
      <c r="AF40" s="70">
        <v>5.7653999999999997E-2</v>
      </c>
      <c r="AG40" s="59">
        <v>5263</v>
      </c>
      <c r="AH40" s="70">
        <v>0.94234499999999999</v>
      </c>
      <c r="AI40" s="59">
        <v>305</v>
      </c>
      <c r="AJ40" s="70">
        <v>5.5444E-2</v>
      </c>
      <c r="AK40" s="59">
        <v>5196</v>
      </c>
      <c r="AL40" s="70">
        <v>0.94455500000000003</v>
      </c>
      <c r="AM40" s="59">
        <v>271</v>
      </c>
      <c r="AN40" s="70">
        <v>5.1267E-2</v>
      </c>
      <c r="AO40" s="59">
        <v>5015</v>
      </c>
      <c r="AP40" s="70">
        <v>0.94873200000000002</v>
      </c>
    </row>
    <row r="41" spans="2:42" x14ac:dyDescent="0.2">
      <c r="B41" s="58" t="s">
        <v>25</v>
      </c>
      <c r="C41" s="59">
        <v>795</v>
      </c>
      <c r="D41" s="70">
        <v>9.9053000000000002E-2</v>
      </c>
      <c r="E41" s="59">
        <v>7231</v>
      </c>
      <c r="F41" s="70">
        <v>0.90094600000000002</v>
      </c>
      <c r="G41" s="59">
        <v>653</v>
      </c>
      <c r="H41" s="70">
        <v>8.2024E-2</v>
      </c>
      <c r="I41" s="59">
        <v>7308</v>
      </c>
      <c r="J41" s="70">
        <v>0.91797499999999999</v>
      </c>
      <c r="K41" s="59">
        <v>649</v>
      </c>
      <c r="L41" s="70">
        <v>8.2569000000000004E-2</v>
      </c>
      <c r="M41" s="59">
        <v>7211</v>
      </c>
      <c r="N41" s="70">
        <v>0.91742999999999997</v>
      </c>
      <c r="O41" s="59">
        <v>621</v>
      </c>
      <c r="P41" s="70">
        <v>8.1764000000000003E-2</v>
      </c>
      <c r="Q41" s="59">
        <v>6974</v>
      </c>
      <c r="R41" s="70">
        <v>0.91823500000000002</v>
      </c>
      <c r="S41" s="59">
        <v>587</v>
      </c>
      <c r="T41" s="70">
        <v>7.7368999999999993E-2</v>
      </c>
      <c r="U41" s="59">
        <v>7000</v>
      </c>
      <c r="V41" s="70">
        <v>0.92262999999999995</v>
      </c>
      <c r="W41" s="59">
        <v>590</v>
      </c>
      <c r="X41" s="70">
        <v>7.7804999999999999E-2</v>
      </c>
      <c r="Y41" s="59">
        <v>6993</v>
      </c>
      <c r="Z41" s="70">
        <v>0.92219399999999996</v>
      </c>
      <c r="AA41" s="59">
        <v>554</v>
      </c>
      <c r="AB41" s="70">
        <v>7.2286000000000003E-2</v>
      </c>
      <c r="AC41" s="59">
        <v>7110</v>
      </c>
      <c r="AD41" s="70">
        <v>0.92771300000000001</v>
      </c>
      <c r="AE41" s="59">
        <v>561</v>
      </c>
      <c r="AF41" s="70">
        <v>7.3447999999999999E-2</v>
      </c>
      <c r="AG41" s="59">
        <v>7077</v>
      </c>
      <c r="AH41" s="70">
        <v>0.92655100000000001</v>
      </c>
      <c r="AI41" s="59">
        <v>514</v>
      </c>
      <c r="AJ41" s="70">
        <v>6.8186999999999998E-2</v>
      </c>
      <c r="AK41" s="59">
        <v>7024</v>
      </c>
      <c r="AL41" s="70">
        <v>0.93181199999999997</v>
      </c>
      <c r="AM41" s="59">
        <v>502</v>
      </c>
      <c r="AN41" s="70">
        <v>6.7220000000000002E-2</v>
      </c>
      <c r="AO41" s="59">
        <v>6966</v>
      </c>
      <c r="AP41" s="70">
        <v>0.93277900000000002</v>
      </c>
    </row>
    <row r="42" spans="2:42" x14ac:dyDescent="0.2">
      <c r="B42" s="61" t="s">
        <v>26</v>
      </c>
      <c r="C42" s="62">
        <v>1206</v>
      </c>
      <c r="D42" s="72">
        <v>9.8593E-2</v>
      </c>
      <c r="E42" s="62">
        <v>11026</v>
      </c>
      <c r="F42" s="72">
        <v>0.90140600000000004</v>
      </c>
      <c r="G42" s="62">
        <v>1285</v>
      </c>
      <c r="H42" s="72">
        <v>0.100124</v>
      </c>
      <c r="I42" s="62">
        <v>11549</v>
      </c>
      <c r="J42" s="72">
        <v>0.89987499999999998</v>
      </c>
      <c r="K42" s="62">
        <v>1284</v>
      </c>
      <c r="L42" s="72">
        <v>9.6562999999999996E-2</v>
      </c>
      <c r="M42" s="62">
        <v>12013</v>
      </c>
      <c r="N42" s="72">
        <v>0.90343600000000002</v>
      </c>
      <c r="O42" s="62">
        <v>1244</v>
      </c>
      <c r="P42" s="72">
        <v>9.0730000000000005E-2</v>
      </c>
      <c r="Q42" s="62">
        <v>12467</v>
      </c>
      <c r="R42" s="72">
        <v>0.90926899999999999</v>
      </c>
      <c r="S42" s="62">
        <v>1306</v>
      </c>
      <c r="T42" s="72">
        <v>9.4336000000000003E-2</v>
      </c>
      <c r="U42" s="62">
        <v>12538</v>
      </c>
      <c r="V42" s="72">
        <v>0.905663</v>
      </c>
      <c r="W42" s="62">
        <v>1417</v>
      </c>
      <c r="X42" s="72">
        <v>9.9640999999999993E-2</v>
      </c>
      <c r="Y42" s="62">
        <v>12804</v>
      </c>
      <c r="Z42" s="72">
        <v>0.90035799999999999</v>
      </c>
      <c r="AA42" s="62">
        <v>1458</v>
      </c>
      <c r="AB42" s="72">
        <v>0.10126400000000001</v>
      </c>
      <c r="AC42" s="62">
        <v>12940</v>
      </c>
      <c r="AD42" s="72">
        <v>0.89873499999999995</v>
      </c>
      <c r="AE42" s="62">
        <v>1407</v>
      </c>
      <c r="AF42" s="72">
        <v>9.7160999999999997E-2</v>
      </c>
      <c r="AG42" s="62">
        <v>13074</v>
      </c>
      <c r="AH42" s="72">
        <v>0.90283800000000003</v>
      </c>
      <c r="AI42" s="62">
        <v>1345</v>
      </c>
      <c r="AJ42" s="72">
        <v>9.2173000000000005E-2</v>
      </c>
      <c r="AK42" s="62">
        <v>13247</v>
      </c>
      <c r="AL42" s="72">
        <v>0.90782600000000002</v>
      </c>
      <c r="AM42" s="62">
        <v>1285</v>
      </c>
      <c r="AN42" s="72">
        <v>8.7790999999999994E-2</v>
      </c>
      <c r="AO42" s="62">
        <v>13352</v>
      </c>
      <c r="AP42" s="72">
        <v>0.91220800000000002</v>
      </c>
    </row>
    <row r="43" spans="2:42" x14ac:dyDescent="0.2">
      <c r="B43" s="20" t="s">
        <v>27</v>
      </c>
      <c r="C43" s="21">
        <f>SUBTOTAL(109,'Non Traditonal Enrollment Trend'!$C$29:$C$42)</f>
        <v>10742</v>
      </c>
      <c r="D43" s="22">
        <f>'Non Traditonal Enrollment Trend'!$C$43/('Non Traditonal Enrollment Trend'!$C$43 +'Non Traditonal Enrollment Trend'!$E$43)</f>
        <v>0.10431759473265097</v>
      </c>
      <c r="E43" s="21">
        <f>SUBTOTAL(109,'Non Traditonal Enrollment Trend'!$E$29:$E$42)</f>
        <v>92232</v>
      </c>
      <c r="F43" s="22">
        <f>'Non Traditonal Enrollment Trend'!$E$43 / ('Non Traditonal Enrollment Trend'!$C$43 +'Non Traditonal Enrollment Trend'!$E$43)</f>
        <v>0.89568240526734899</v>
      </c>
      <c r="G43" s="21">
        <f>SUBTOTAL(109,'Non Traditonal Enrollment Trend'!$G$29:$G$42)</f>
        <v>10242</v>
      </c>
      <c r="H43" s="22">
        <f>'Non Traditonal Enrollment Trend'!$G$43 / ('Non Traditonal Enrollment Trend'!$G$43 +'Non Traditonal Enrollment Trend'!$I$43)</f>
        <v>9.9533527696793009E-2</v>
      </c>
      <c r="I43" s="21">
        <f>SUBTOTAL(109,'Non Traditonal Enrollment Trend'!$I$29:$I$42)</f>
        <v>92658</v>
      </c>
      <c r="J43" s="22">
        <f>'Non Traditonal Enrollment Trend'!$I$43/('Non Traditonal Enrollment Trend'!$I$43 + 'Non Traditonal Enrollment Trend'!$G$43)</f>
        <v>0.90046647230320698</v>
      </c>
      <c r="K43" s="21">
        <f>SUBTOTAL(109,'Non Traditonal Enrollment Trend'!$K$29:$K$42)</f>
        <v>9512</v>
      </c>
      <c r="L43" s="22">
        <f>'Non Traditonal Enrollment Trend'!$K$43 / ('Non Traditonal Enrollment Trend'!$K$43 + 'Non Traditonal Enrollment Trend'!$M$43)</f>
        <v>9.4583710362246068E-2</v>
      </c>
      <c r="M43" s="21">
        <f>SUBTOTAL(109,'Non Traditonal Enrollment Trend'!$M$29:$M$42)</f>
        <v>91055</v>
      </c>
      <c r="N43" s="22">
        <f>'Non Traditonal Enrollment Trend'!$M$43 / ('Non Traditonal Enrollment Trend'!$M$43 + 'Non Traditonal Enrollment Trend'!$K$43)</f>
        <v>0.90541628963775389</v>
      </c>
      <c r="O43" s="21">
        <f>SUBTOTAL(109,'Non Traditonal Enrollment Trend'!$O$29:$O$42)</f>
        <v>9034</v>
      </c>
      <c r="P43" s="22">
        <f>'Non Traditonal Enrollment Trend'!$O$43 / ('Non Traditonal Enrollment Trend'!$O$43 +'Non Traditonal Enrollment Trend'!$Q$43)</f>
        <v>9.1629223170001925E-2</v>
      </c>
      <c r="Q43" s="21">
        <f>SUBTOTAL(109,'Non Traditonal Enrollment Trend'!$Q$29:$Q$42)</f>
        <v>89559</v>
      </c>
      <c r="R43" s="22">
        <f>'Non Traditonal Enrollment Trend'!$Q$43 / ('Non Traditonal Enrollment Trend'!$Q$43 +'Non Traditonal Enrollment Trend'!$O$43)</f>
        <v>0.90837077682999812</v>
      </c>
      <c r="S43" s="21">
        <f>SUBTOTAL(109,'Non Traditonal Enrollment Trend'!$S$29:$S$42)</f>
        <v>8840</v>
      </c>
      <c r="T43" s="22">
        <f>'Non Traditonal Enrollment Trend'!$S$43 / ('Non Traditonal Enrollment Trend'!$S$43 +'Non Traditonal Enrollment Trend'!$U$43)</f>
        <v>9.2077578484678041E-2</v>
      </c>
      <c r="U43" s="21">
        <f>SUBTOTAL(109,'Non Traditonal Enrollment Trend'!$U$29:$U$42)</f>
        <v>87166</v>
      </c>
      <c r="V43" s="22">
        <f>'Non Traditonal Enrollment Trend'!$U$43 / ( 'Non Traditonal Enrollment Trend'!$U$43 +'Non Traditonal Enrollment Trend'!$S$43)</f>
        <v>0.90792242151532199</v>
      </c>
      <c r="W43" s="21">
        <f>SUBTOTAL(109,'Non Traditonal Enrollment Trend'!$W$29:$W$42)</f>
        <v>8817</v>
      </c>
      <c r="X43" s="22">
        <f>'Non Traditonal Enrollment Trend'!$W$43 / ('Non Traditonal Enrollment Trend'!$W$43 + 'Non Traditonal Enrollment Trend'!$Y$43)</f>
        <v>9.4713774693579403E-2</v>
      </c>
      <c r="Y43" s="21">
        <f>SUBTOTAL(109,'Non Traditonal Enrollment Trend'!$Y$29:$Y$42)</f>
        <v>84274</v>
      </c>
      <c r="Z43" s="22">
        <f>'Non Traditonal Enrollment Trend'!$Y$43 / ('Non Traditonal Enrollment Trend'!$Y$43 +'Non Traditonal Enrollment Trend'!$W$43)</f>
        <v>0.90528622530642056</v>
      </c>
      <c r="AA43" s="21">
        <f>SUBTOTAL(109,'Non Traditonal Enrollment Trend'!$AA$29:$AA$42)</f>
        <v>8784</v>
      </c>
      <c r="AB43" s="22">
        <f>'Non Traditonal Enrollment Trend'!$AA$43/( 'Non Traditonal Enrollment Trend'!$AA$43 +'Non Traditonal Enrollment Trend'!$AC$43)</f>
        <v>9.7521982414068745E-2</v>
      </c>
      <c r="AC43" s="21">
        <f>SUBTOTAL(109,'Non Traditonal Enrollment Trend'!$AC$29:$AC$42)</f>
        <v>81288</v>
      </c>
      <c r="AD43" s="22">
        <f>'Non Traditonal Enrollment Trend'!$AC$43 / ('Non Traditonal Enrollment Trend'!$AC$43 + 'Non Traditonal Enrollment Trend'!$AA$43)</f>
        <v>0.90247801758593127</v>
      </c>
      <c r="AE43" s="21">
        <f>SUBTOTAL(109,'Non Traditonal Enrollment Trend'!$AE$29:$AE$42)</f>
        <v>8731</v>
      </c>
      <c r="AF43" s="22">
        <f>'Non Traditonal Enrollment Trend'!$AE$43 / ('Non Traditonal Enrollment Trend'!$AE$43 +'Non Traditonal Enrollment Trend'!$AG$43)</f>
        <v>0.10007794410948855</v>
      </c>
      <c r="AG43" s="21">
        <f>SUBTOTAL(109,'Non Traditonal Enrollment Trend'!$AG$29:$AG$42)</f>
        <v>78511</v>
      </c>
      <c r="AH43" s="22">
        <f>'Non Traditonal Enrollment Trend'!$AG$43 / ('Non Traditonal Enrollment Trend'!$AG$43 +'Non Traditonal Enrollment Trend'!$AE$43)</f>
        <v>0.89992205589051144</v>
      </c>
      <c r="AI43" s="21">
        <f>SUBTOTAL(109,'Non Traditonal Enrollment Trend'!$AI$29:$AI$42)</f>
        <v>8129</v>
      </c>
      <c r="AJ43" s="22">
        <f>'Non Traditonal Enrollment Trend'!$AI$43 / ('Non Traditonal Enrollment Trend'!$AI$43 +'Non Traditonal Enrollment Trend'!$AK$43)</f>
        <v>9.7852517033006722E-2</v>
      </c>
      <c r="AK43" s="21">
        <f>SUBTOTAL(109,'Non Traditonal Enrollment Trend'!$AK$29:$AK$42)</f>
        <v>74945</v>
      </c>
      <c r="AL43" s="22">
        <f>'Non Traditonal Enrollment Trend'!$AK$43 / ('Non Traditonal Enrollment Trend'!$AK$43 +'Non Traditonal Enrollment Trend'!$AI$43)</f>
        <v>0.90214748296699332</v>
      </c>
      <c r="AM43" s="21">
        <f>SUBTOTAL(109,'Non Traditonal Enrollment Trend'!$AM$29:$AM$42)</f>
        <v>7755</v>
      </c>
      <c r="AN43" s="22">
        <f>'Non Traditonal Enrollment Trend'!$AM$43 / ('Non Traditonal Enrollment Trend'!$AM$43 +'Non Traditonal Enrollment Trend'!$AO$43)</f>
        <v>9.6424041976475264E-2</v>
      </c>
      <c r="AO43" s="21">
        <f>SUBTOTAL(109,'Non Traditonal Enrollment Trend'!$AO$29:$AO$42)</f>
        <v>72671</v>
      </c>
      <c r="AP43" s="22">
        <f>'Non Traditonal Enrollment Trend'!$AO$43 / ('Non Traditonal Enrollment Trend'!$AO$43 +'Non Traditonal Enrollment Trend'!$AM$43)</f>
        <v>0.90357595802352475</v>
      </c>
    </row>
    <row r="46" spans="2:42" ht="15" x14ac:dyDescent="0.2">
      <c r="B46" s="131" t="s">
        <v>194</v>
      </c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  <c r="AL46" s="131"/>
      <c r="AM46" s="131"/>
      <c r="AN46" s="131"/>
      <c r="AO46" s="131"/>
      <c r="AP46" s="131"/>
    </row>
    <row r="47" spans="2:42" x14ac:dyDescent="0.2">
      <c r="B47" s="134" t="s">
        <v>1</v>
      </c>
      <c r="C47" s="133" t="str">
        <f>CONCATENATE(IF(RIGHT(Parameters!B1,1) = "1","Fall ", "Spring "),IF(RIGHT(Parameters!B1,1) = "1",LEFT(Parameters!B1,4) -9, LEFT(Parameters!B1,4) - 8))</f>
        <v>Fall 2010</v>
      </c>
      <c r="D47" s="133"/>
      <c r="E47" s="133"/>
      <c r="F47" s="133"/>
      <c r="G47" s="133" t="str">
        <f>CONCATENATE(IF(RIGHT(Parameters!B1,1) = "1","Fall ", "Spring "),IF(RIGHT(Parameters!B1,1) = "1",LEFT(Parameters!B1,4) -8, LEFT(Parameters!B1,4) - 7))</f>
        <v>Fall 2011</v>
      </c>
      <c r="H47" s="133"/>
      <c r="I47" s="133"/>
      <c r="J47" s="133"/>
      <c r="K47" s="133" t="str">
        <f>CONCATENATE(IF(RIGHT(Parameters!B1,1) = "1","Fall ", "Spring "),IF(RIGHT(Parameters!B1,1) = "1",LEFT(Parameters!B1,4) -7, LEFT(Parameters!B1,4) - 6))</f>
        <v>Fall 2012</v>
      </c>
      <c r="L47" s="133"/>
      <c r="M47" s="133"/>
      <c r="N47" s="133"/>
      <c r="O47" s="133" t="str">
        <f>CONCATENATE(IF(RIGHT(Parameters!B1,1) = "1","Fall ", "Spring "),IF(RIGHT(Parameters!B1,1) = "1",LEFT(Parameters!B1,4) -6, LEFT(Parameters!B1,4) - 5))</f>
        <v>Fall 2013</v>
      </c>
      <c r="P47" s="133"/>
      <c r="Q47" s="133"/>
      <c r="R47" s="133"/>
      <c r="S47" s="133" t="str">
        <f>CONCATENATE(IF(RIGHT(Parameters!B1,1) = "1","Fall ", "Spring "),IF(RIGHT(Parameters!B1,1) = "1",LEFT(Parameters!B1,4) -5, LEFT(Parameters!B1,4) - 4))</f>
        <v>Fall 2014</v>
      </c>
      <c r="T47" s="133"/>
      <c r="U47" s="133"/>
      <c r="V47" s="133"/>
      <c r="W47" s="133" t="str">
        <f>CONCATENATE(IF(RIGHT(Parameters!B1,1) = "1","Fall ", "Spring "),IF(RIGHT(Parameters!B1,1) = "1",LEFT(Parameters!B1,4) -4, LEFT(Parameters!B1,4) - 3))</f>
        <v>Fall 2015</v>
      </c>
      <c r="X47" s="133"/>
      <c r="Y47" s="133"/>
      <c r="Z47" s="133"/>
      <c r="AA47" s="133" t="str">
        <f>CONCATENATE(IF(RIGHT(Parameters!B1,1) = "1","Fall ", "Spring "),IF(RIGHT(Parameters!B1,1) = "1",LEFT(Parameters!B1,4) -3, LEFT(Parameters!B1,4) -2 ))</f>
        <v>Fall 2016</v>
      </c>
      <c r="AB47" s="133"/>
      <c r="AC47" s="133"/>
      <c r="AD47" s="133"/>
      <c r="AE47" s="133" t="str">
        <f>CONCATENATE(IF(RIGHT(Parameters!B1,1) = "1","Fall ", "Spring "),IF(RIGHT(Parameters!B1,1) = "1",LEFT(Parameters!B1,4) -2, LEFT(Parameters!B1,4) -1 ))</f>
        <v>Fall 2017</v>
      </c>
      <c r="AF47" s="133"/>
      <c r="AG47" s="133"/>
      <c r="AH47" s="133"/>
      <c r="AI47" s="133" t="str">
        <f>CONCATENATE(IF(RIGHT(Parameters!B1,1) = "1","Fall ", "Spring "),IF(RIGHT(Parameters!B1,1) = "1",LEFT(Parameters!B1,4) -1, LEFT(Parameters!B1,4)  ))</f>
        <v>Fall 2018</v>
      </c>
      <c r="AJ47" s="133"/>
      <c r="AK47" s="133"/>
      <c r="AL47" s="133"/>
      <c r="AM47" s="133" t="str">
        <f>CONCATENATE(IF(RIGHT(Parameters!B1,1) = "1","Fall ", "Spring "),IF(RIGHT(Parameters!B1,1) = "1",LEFT(Parameters!B1,4), LEFT(Parameters!B1,4) + 1))</f>
        <v>Fall 2019</v>
      </c>
      <c r="AN47" s="133"/>
      <c r="AO47" s="133"/>
      <c r="AP47" s="133"/>
    </row>
    <row r="48" spans="2:42" x14ac:dyDescent="0.2">
      <c r="B48" s="136"/>
      <c r="C48" s="133" t="s">
        <v>159</v>
      </c>
      <c r="D48" s="133"/>
      <c r="E48" s="133" t="s">
        <v>160</v>
      </c>
      <c r="F48" s="133"/>
      <c r="G48" s="133" t="s">
        <v>159</v>
      </c>
      <c r="H48" s="133"/>
      <c r="I48" s="133" t="s">
        <v>160</v>
      </c>
      <c r="J48" s="133"/>
      <c r="K48" s="133" t="s">
        <v>159</v>
      </c>
      <c r="L48" s="133"/>
      <c r="M48" s="133" t="s">
        <v>160</v>
      </c>
      <c r="N48" s="133"/>
      <c r="O48" s="133" t="s">
        <v>159</v>
      </c>
      <c r="P48" s="133"/>
      <c r="Q48" s="133" t="s">
        <v>160</v>
      </c>
      <c r="R48" s="133"/>
      <c r="S48" s="133" t="s">
        <v>159</v>
      </c>
      <c r="T48" s="133"/>
      <c r="U48" s="133" t="s">
        <v>160</v>
      </c>
      <c r="V48" s="133"/>
      <c r="W48" s="133" t="s">
        <v>159</v>
      </c>
      <c r="X48" s="133"/>
      <c r="Y48" s="133" t="s">
        <v>160</v>
      </c>
      <c r="Z48" s="133"/>
      <c r="AA48" s="133" t="s">
        <v>159</v>
      </c>
      <c r="AB48" s="133"/>
      <c r="AC48" s="133" t="s">
        <v>160</v>
      </c>
      <c r="AD48" s="133"/>
      <c r="AE48" s="133" t="s">
        <v>159</v>
      </c>
      <c r="AF48" s="133"/>
      <c r="AG48" s="133" t="s">
        <v>160</v>
      </c>
      <c r="AH48" s="133"/>
      <c r="AI48" s="133" t="s">
        <v>159</v>
      </c>
      <c r="AJ48" s="133"/>
      <c r="AK48" s="133" t="s">
        <v>160</v>
      </c>
      <c r="AL48" s="133"/>
      <c r="AM48" s="133" t="s">
        <v>159</v>
      </c>
      <c r="AN48" s="133"/>
      <c r="AO48" s="133" t="s">
        <v>160</v>
      </c>
      <c r="AP48" s="133"/>
    </row>
    <row r="49" spans="2:42" x14ac:dyDescent="0.2">
      <c r="B49" s="135"/>
      <c r="C49" s="52" t="s">
        <v>161</v>
      </c>
      <c r="D49" s="52" t="s">
        <v>162</v>
      </c>
      <c r="E49" s="52" t="s">
        <v>161</v>
      </c>
      <c r="F49" s="52" t="s">
        <v>162</v>
      </c>
      <c r="G49" s="52" t="s">
        <v>161</v>
      </c>
      <c r="H49" s="52" t="s">
        <v>162</v>
      </c>
      <c r="I49" s="52" t="s">
        <v>161</v>
      </c>
      <c r="J49" s="52" t="s">
        <v>162</v>
      </c>
      <c r="K49" s="52" t="s">
        <v>161</v>
      </c>
      <c r="L49" s="52" t="s">
        <v>162</v>
      </c>
      <c r="M49" s="52" t="s">
        <v>161</v>
      </c>
      <c r="N49" s="52" t="s">
        <v>162</v>
      </c>
      <c r="O49" s="52" t="s">
        <v>161</v>
      </c>
      <c r="P49" s="52" t="s">
        <v>162</v>
      </c>
      <c r="Q49" s="52" t="s">
        <v>161</v>
      </c>
      <c r="R49" s="52" t="s">
        <v>162</v>
      </c>
      <c r="S49" s="52" t="s">
        <v>161</v>
      </c>
      <c r="T49" s="52" t="s">
        <v>162</v>
      </c>
      <c r="U49" s="52" t="s">
        <v>161</v>
      </c>
      <c r="V49" s="52" t="s">
        <v>162</v>
      </c>
      <c r="W49" s="52" t="s">
        <v>161</v>
      </c>
      <c r="X49" s="52" t="s">
        <v>162</v>
      </c>
      <c r="Y49" s="52" t="s">
        <v>161</v>
      </c>
      <c r="Z49" s="52" t="s">
        <v>162</v>
      </c>
      <c r="AA49" s="52" t="s">
        <v>161</v>
      </c>
      <c r="AB49" s="52" t="s">
        <v>162</v>
      </c>
      <c r="AC49" s="52" t="s">
        <v>161</v>
      </c>
      <c r="AD49" s="52" t="s">
        <v>162</v>
      </c>
      <c r="AE49" s="52" t="s">
        <v>161</v>
      </c>
      <c r="AF49" s="52" t="s">
        <v>162</v>
      </c>
      <c r="AG49" s="52" t="s">
        <v>161</v>
      </c>
      <c r="AH49" s="52" t="s">
        <v>162</v>
      </c>
      <c r="AI49" s="52" t="s">
        <v>161</v>
      </c>
      <c r="AJ49" s="52" t="s">
        <v>162</v>
      </c>
      <c r="AK49" s="52" t="s">
        <v>161</v>
      </c>
      <c r="AL49" s="52" t="s">
        <v>162</v>
      </c>
      <c r="AM49" s="52" t="s">
        <v>161</v>
      </c>
      <c r="AN49" s="52" t="s">
        <v>162</v>
      </c>
      <c r="AO49" s="52" t="s">
        <v>161</v>
      </c>
      <c r="AP49" s="52" t="s">
        <v>162</v>
      </c>
    </row>
    <row r="50" spans="2:42" ht="15.75" hidden="1" customHeight="1" thickBot="1" x14ac:dyDescent="0.25">
      <c r="B50" s="26" t="s">
        <v>2</v>
      </c>
      <c r="C50" s="26" t="s">
        <v>163</v>
      </c>
      <c r="D50" s="26" t="s">
        <v>164</v>
      </c>
      <c r="E50" s="26" t="s">
        <v>165</v>
      </c>
      <c r="F50" s="26" t="s">
        <v>139</v>
      </c>
      <c r="G50" s="26" t="s">
        <v>166</v>
      </c>
      <c r="H50" s="26" t="s">
        <v>167</v>
      </c>
      <c r="I50" s="26" t="s">
        <v>168</v>
      </c>
      <c r="J50" s="26" t="s">
        <v>140</v>
      </c>
      <c r="K50" s="26" t="s">
        <v>169</v>
      </c>
      <c r="L50" s="26" t="s">
        <v>170</v>
      </c>
      <c r="M50" s="26" t="s">
        <v>171</v>
      </c>
      <c r="N50" s="26" t="s">
        <v>141</v>
      </c>
      <c r="O50" s="26" t="s">
        <v>172</v>
      </c>
      <c r="P50" s="26" t="s">
        <v>173</v>
      </c>
      <c r="Q50" s="26" t="s">
        <v>174</v>
      </c>
      <c r="R50" s="26" t="s">
        <v>142</v>
      </c>
      <c r="S50" s="26" t="s">
        <v>175</v>
      </c>
      <c r="T50" s="26" t="s">
        <v>176</v>
      </c>
      <c r="U50" s="26" t="s">
        <v>177</v>
      </c>
      <c r="V50" s="26" t="s">
        <v>143</v>
      </c>
      <c r="W50" s="26" t="s">
        <v>178</v>
      </c>
      <c r="X50" s="26" t="s">
        <v>179</v>
      </c>
      <c r="Y50" s="26" t="s">
        <v>180</v>
      </c>
      <c r="Z50" s="26" t="s">
        <v>144</v>
      </c>
      <c r="AA50" s="26" t="s">
        <v>181</v>
      </c>
      <c r="AB50" s="26" t="s">
        <v>182</v>
      </c>
      <c r="AC50" s="26" t="s">
        <v>183</v>
      </c>
      <c r="AD50" s="26" t="s">
        <v>145</v>
      </c>
      <c r="AE50" s="26" t="s">
        <v>184</v>
      </c>
      <c r="AF50" s="26" t="s">
        <v>185</v>
      </c>
      <c r="AG50" s="26" t="s">
        <v>186</v>
      </c>
      <c r="AH50" s="26" t="s">
        <v>146</v>
      </c>
      <c r="AI50" s="26" t="s">
        <v>187</v>
      </c>
      <c r="AJ50" s="26" t="s">
        <v>188</v>
      </c>
      <c r="AK50" s="26" t="s">
        <v>189</v>
      </c>
      <c r="AL50" s="26" t="s">
        <v>148</v>
      </c>
      <c r="AM50" s="26" t="s">
        <v>190</v>
      </c>
      <c r="AN50" s="26" t="s">
        <v>191</v>
      </c>
      <c r="AO50" s="26" t="s">
        <v>192</v>
      </c>
      <c r="AP50" s="26" t="s">
        <v>149</v>
      </c>
    </row>
    <row r="51" spans="2:42" x14ac:dyDescent="0.2">
      <c r="B51" s="56" t="s">
        <v>13</v>
      </c>
      <c r="C51" s="57">
        <v>625</v>
      </c>
      <c r="D51" s="68">
        <v>0.65444999999999998</v>
      </c>
      <c r="E51" s="57">
        <v>330</v>
      </c>
      <c r="F51" s="68">
        <v>0.345549</v>
      </c>
      <c r="G51" s="57">
        <v>581</v>
      </c>
      <c r="H51" s="68">
        <v>0.64341000000000004</v>
      </c>
      <c r="I51" s="57">
        <v>322</v>
      </c>
      <c r="J51" s="68">
        <v>0.35658899999999999</v>
      </c>
      <c r="K51" s="57">
        <v>463</v>
      </c>
      <c r="L51" s="68">
        <v>0.61981200000000003</v>
      </c>
      <c r="M51" s="57">
        <v>284</v>
      </c>
      <c r="N51" s="68">
        <v>0.380187</v>
      </c>
      <c r="O51" s="57">
        <v>435</v>
      </c>
      <c r="P51" s="68">
        <v>0.61181399999999997</v>
      </c>
      <c r="Q51" s="57">
        <v>276</v>
      </c>
      <c r="R51" s="68">
        <v>0.388185</v>
      </c>
      <c r="S51" s="57">
        <v>418</v>
      </c>
      <c r="T51" s="68">
        <v>0.61561100000000002</v>
      </c>
      <c r="U51" s="57">
        <v>261</v>
      </c>
      <c r="V51" s="68">
        <v>0.38438800000000001</v>
      </c>
      <c r="W51" s="57">
        <v>362</v>
      </c>
      <c r="X51" s="68">
        <v>0.58481399999999994</v>
      </c>
      <c r="Y51" s="57">
        <v>257</v>
      </c>
      <c r="Z51" s="68">
        <v>0.41518500000000003</v>
      </c>
      <c r="AA51" s="57">
        <v>395</v>
      </c>
      <c r="AB51" s="68">
        <v>0.59577599999999997</v>
      </c>
      <c r="AC51" s="57">
        <v>268</v>
      </c>
      <c r="AD51" s="68">
        <v>0.404223</v>
      </c>
      <c r="AE51" s="57">
        <v>420</v>
      </c>
      <c r="AF51" s="68">
        <v>0.61673999999999995</v>
      </c>
      <c r="AG51" s="57">
        <v>261</v>
      </c>
      <c r="AH51" s="68">
        <v>0.38325900000000002</v>
      </c>
      <c r="AI51" s="57">
        <v>404</v>
      </c>
      <c r="AJ51" s="68">
        <v>0.60208600000000001</v>
      </c>
      <c r="AK51" s="57">
        <v>267</v>
      </c>
      <c r="AL51" s="68">
        <v>0.39791300000000002</v>
      </c>
      <c r="AM51" s="57">
        <v>412</v>
      </c>
      <c r="AN51" s="68">
        <v>0.59110399999999996</v>
      </c>
      <c r="AO51" s="57">
        <v>285</v>
      </c>
      <c r="AP51" s="68">
        <v>0.40889500000000001</v>
      </c>
    </row>
    <row r="52" spans="2:42" x14ac:dyDescent="0.2">
      <c r="B52" s="58" t="s">
        <v>14</v>
      </c>
      <c r="C52" s="59">
        <v>1471</v>
      </c>
      <c r="D52" s="70">
        <v>0.74255400000000005</v>
      </c>
      <c r="E52" s="59">
        <v>510</v>
      </c>
      <c r="F52" s="70">
        <v>0.25744499999999998</v>
      </c>
      <c r="G52" s="59">
        <v>1504</v>
      </c>
      <c r="H52" s="70">
        <v>0.72797599999999996</v>
      </c>
      <c r="I52" s="59">
        <v>562</v>
      </c>
      <c r="J52" s="70">
        <v>0.27202300000000001</v>
      </c>
      <c r="K52" s="59">
        <v>1350</v>
      </c>
      <c r="L52" s="70">
        <v>0.70057000000000003</v>
      </c>
      <c r="M52" s="59">
        <v>577</v>
      </c>
      <c r="N52" s="70">
        <v>0.299429</v>
      </c>
      <c r="O52" s="59">
        <v>1293</v>
      </c>
      <c r="P52" s="70">
        <v>0.72113700000000003</v>
      </c>
      <c r="Q52" s="59">
        <v>500</v>
      </c>
      <c r="R52" s="70">
        <v>0.278862</v>
      </c>
      <c r="S52" s="59">
        <v>1399</v>
      </c>
      <c r="T52" s="70">
        <v>0.735541</v>
      </c>
      <c r="U52" s="59">
        <v>503</v>
      </c>
      <c r="V52" s="70">
        <v>0.26445800000000003</v>
      </c>
      <c r="W52" s="59">
        <v>1503</v>
      </c>
      <c r="X52" s="70">
        <v>0.726437</v>
      </c>
      <c r="Y52" s="59">
        <v>566</v>
      </c>
      <c r="Z52" s="70">
        <v>0.27356200000000003</v>
      </c>
      <c r="AA52" s="59">
        <v>1510</v>
      </c>
      <c r="AB52" s="70">
        <v>0.74347600000000003</v>
      </c>
      <c r="AC52" s="59">
        <v>521</v>
      </c>
      <c r="AD52" s="70">
        <v>0.256523</v>
      </c>
      <c r="AE52" s="59">
        <v>1712</v>
      </c>
      <c r="AF52" s="70">
        <v>0.76736800000000005</v>
      </c>
      <c r="AG52" s="59">
        <v>519</v>
      </c>
      <c r="AH52" s="70">
        <v>0.232631</v>
      </c>
      <c r="AI52" s="59">
        <v>1652</v>
      </c>
      <c r="AJ52" s="70">
        <v>0.77268400000000004</v>
      </c>
      <c r="AK52" s="59">
        <v>486</v>
      </c>
      <c r="AL52" s="70">
        <v>0.22731499999999999</v>
      </c>
      <c r="AM52" s="59">
        <v>1482</v>
      </c>
      <c r="AN52" s="70">
        <v>0.74622299999999997</v>
      </c>
      <c r="AO52" s="59">
        <v>504</v>
      </c>
      <c r="AP52" s="70">
        <v>0.253776</v>
      </c>
    </row>
    <row r="53" spans="2:42" x14ac:dyDescent="0.2">
      <c r="B53" s="58" t="s">
        <v>15</v>
      </c>
      <c r="C53" s="59">
        <v>67</v>
      </c>
      <c r="D53" s="70">
        <v>0.85897400000000002</v>
      </c>
      <c r="E53" s="59">
        <v>11</v>
      </c>
      <c r="F53" s="70">
        <v>0.14102500000000001</v>
      </c>
      <c r="G53" s="59">
        <v>50</v>
      </c>
      <c r="H53" s="70">
        <v>0.84745700000000002</v>
      </c>
      <c r="I53" s="59">
        <v>9</v>
      </c>
      <c r="J53" s="70">
        <v>0.15254200000000001</v>
      </c>
      <c r="K53" s="59">
        <v>51</v>
      </c>
      <c r="L53" s="70">
        <v>0.84999899999999995</v>
      </c>
      <c r="M53" s="59">
        <v>9</v>
      </c>
      <c r="N53" s="70">
        <v>0.14999899999999999</v>
      </c>
      <c r="O53" s="59">
        <v>30</v>
      </c>
      <c r="P53" s="70">
        <v>0.90908999999999995</v>
      </c>
      <c r="Q53" s="59">
        <v>3</v>
      </c>
      <c r="R53" s="70">
        <v>9.0909000000000004E-2</v>
      </c>
      <c r="S53" s="59">
        <v>24</v>
      </c>
      <c r="T53" s="70">
        <v>0.95999900000000005</v>
      </c>
      <c r="U53" s="59">
        <v>1</v>
      </c>
      <c r="V53" s="70">
        <v>3.9999E-2</v>
      </c>
      <c r="W53" s="59">
        <v>25</v>
      </c>
      <c r="X53" s="70">
        <v>0.99999899999999997</v>
      </c>
      <c r="Y53" s="59">
        <v>0</v>
      </c>
      <c r="Z53" s="70">
        <v>0</v>
      </c>
      <c r="AA53" s="59">
        <v>32</v>
      </c>
      <c r="AB53" s="70">
        <v>0.86486399999999997</v>
      </c>
      <c r="AC53" s="59">
        <v>5</v>
      </c>
      <c r="AD53" s="70">
        <v>0.13513500000000001</v>
      </c>
      <c r="AE53" s="59">
        <v>26</v>
      </c>
      <c r="AF53" s="70">
        <v>0.81249899999999997</v>
      </c>
      <c r="AG53" s="59">
        <v>6</v>
      </c>
      <c r="AH53" s="70">
        <v>0.187499</v>
      </c>
      <c r="AI53" s="59">
        <v>0</v>
      </c>
      <c r="AJ53" s="70">
        <v>0</v>
      </c>
      <c r="AK53" s="59">
        <v>0</v>
      </c>
      <c r="AL53" s="70">
        <v>0</v>
      </c>
      <c r="AM53" s="59">
        <v>0</v>
      </c>
      <c r="AN53" s="70">
        <v>0</v>
      </c>
      <c r="AO53" s="59">
        <v>0</v>
      </c>
      <c r="AP53" s="70">
        <v>0</v>
      </c>
    </row>
    <row r="54" spans="2:42" x14ac:dyDescent="0.2">
      <c r="B54" s="58" t="s">
        <v>16</v>
      </c>
      <c r="C54" s="59">
        <v>842</v>
      </c>
      <c r="D54" s="70">
        <v>0.77247699999999997</v>
      </c>
      <c r="E54" s="59">
        <v>248</v>
      </c>
      <c r="F54" s="70">
        <v>0.227522</v>
      </c>
      <c r="G54" s="59">
        <v>850</v>
      </c>
      <c r="H54" s="70">
        <v>0.76233099999999998</v>
      </c>
      <c r="I54" s="59">
        <v>265</v>
      </c>
      <c r="J54" s="70">
        <v>0.23766799999999999</v>
      </c>
      <c r="K54" s="59">
        <v>760</v>
      </c>
      <c r="L54" s="70">
        <v>0.75848300000000002</v>
      </c>
      <c r="M54" s="59">
        <v>242</v>
      </c>
      <c r="N54" s="70">
        <v>0.24151600000000001</v>
      </c>
      <c r="O54" s="59">
        <v>678</v>
      </c>
      <c r="P54" s="70">
        <v>0.76958000000000004</v>
      </c>
      <c r="Q54" s="59">
        <v>203</v>
      </c>
      <c r="R54" s="70">
        <v>0.23041900000000001</v>
      </c>
      <c r="S54" s="59">
        <v>619</v>
      </c>
      <c r="T54" s="70">
        <v>0.76798999999999995</v>
      </c>
      <c r="U54" s="59">
        <v>187</v>
      </c>
      <c r="V54" s="70">
        <v>0.23200899999999999</v>
      </c>
      <c r="W54" s="59">
        <v>613</v>
      </c>
      <c r="X54" s="70">
        <v>0.75399700000000003</v>
      </c>
      <c r="Y54" s="59">
        <v>200</v>
      </c>
      <c r="Z54" s="70">
        <v>0.246002</v>
      </c>
      <c r="AA54" s="59">
        <v>644</v>
      </c>
      <c r="AB54" s="70">
        <v>0.72035700000000003</v>
      </c>
      <c r="AC54" s="59">
        <v>250</v>
      </c>
      <c r="AD54" s="70">
        <v>0.279642</v>
      </c>
      <c r="AE54" s="59">
        <v>650</v>
      </c>
      <c r="AF54" s="70">
        <v>0.71902600000000005</v>
      </c>
      <c r="AG54" s="59">
        <v>254</v>
      </c>
      <c r="AH54" s="70">
        <v>0.28097299999999997</v>
      </c>
      <c r="AI54" s="59">
        <v>700</v>
      </c>
      <c r="AJ54" s="70">
        <v>0.75512400000000002</v>
      </c>
      <c r="AK54" s="59">
        <v>227</v>
      </c>
      <c r="AL54" s="70">
        <v>0.24487500000000001</v>
      </c>
      <c r="AM54" s="59">
        <v>715</v>
      </c>
      <c r="AN54" s="70">
        <v>0.77130500000000002</v>
      </c>
      <c r="AO54" s="59">
        <v>212</v>
      </c>
      <c r="AP54" s="70">
        <v>0.22869400000000001</v>
      </c>
    </row>
    <row r="55" spans="2:42" x14ac:dyDescent="0.2">
      <c r="B55" s="58" t="s">
        <v>17</v>
      </c>
      <c r="C55" s="59">
        <v>712</v>
      </c>
      <c r="D55" s="70">
        <v>0.70147700000000002</v>
      </c>
      <c r="E55" s="59">
        <v>303</v>
      </c>
      <c r="F55" s="70">
        <v>0.29852200000000001</v>
      </c>
      <c r="G55" s="59">
        <v>453</v>
      </c>
      <c r="H55" s="70">
        <v>0.64992799999999995</v>
      </c>
      <c r="I55" s="59">
        <v>244</v>
      </c>
      <c r="J55" s="70">
        <v>0.35007100000000002</v>
      </c>
      <c r="K55" s="59">
        <v>363</v>
      </c>
      <c r="L55" s="70">
        <v>0.61734599999999995</v>
      </c>
      <c r="M55" s="59">
        <v>225</v>
      </c>
      <c r="N55" s="70">
        <v>0.38265300000000002</v>
      </c>
      <c r="O55" s="59">
        <v>345</v>
      </c>
      <c r="P55" s="70">
        <v>0.58277000000000001</v>
      </c>
      <c r="Q55" s="59">
        <v>247</v>
      </c>
      <c r="R55" s="70">
        <v>0.41722900000000002</v>
      </c>
      <c r="S55" s="59">
        <v>385</v>
      </c>
      <c r="T55" s="70">
        <v>0.62499899999999997</v>
      </c>
      <c r="U55" s="59">
        <v>231</v>
      </c>
      <c r="V55" s="70">
        <v>0.37499900000000003</v>
      </c>
      <c r="W55" s="59">
        <v>395</v>
      </c>
      <c r="X55" s="70">
        <v>0.59757899999999997</v>
      </c>
      <c r="Y55" s="59">
        <v>266</v>
      </c>
      <c r="Z55" s="70">
        <v>0.40242</v>
      </c>
      <c r="AA55" s="59">
        <v>437</v>
      </c>
      <c r="AB55" s="70">
        <v>0.65126600000000001</v>
      </c>
      <c r="AC55" s="59">
        <v>234</v>
      </c>
      <c r="AD55" s="70">
        <v>0.34873300000000002</v>
      </c>
      <c r="AE55" s="59">
        <v>442</v>
      </c>
      <c r="AF55" s="70">
        <v>0.639652</v>
      </c>
      <c r="AG55" s="59">
        <v>249</v>
      </c>
      <c r="AH55" s="70">
        <v>0.36034699999999997</v>
      </c>
      <c r="AI55" s="59">
        <v>463</v>
      </c>
      <c r="AJ55" s="70">
        <v>0.65027999999999997</v>
      </c>
      <c r="AK55" s="59">
        <v>249</v>
      </c>
      <c r="AL55" s="70">
        <v>0.349719</v>
      </c>
      <c r="AM55" s="59">
        <v>549</v>
      </c>
      <c r="AN55" s="70">
        <v>0.68883300000000003</v>
      </c>
      <c r="AO55" s="59">
        <v>248</v>
      </c>
      <c r="AP55" s="70">
        <v>0.311166</v>
      </c>
    </row>
    <row r="56" spans="2:42" x14ac:dyDescent="0.2">
      <c r="B56" s="58" t="s">
        <v>18</v>
      </c>
      <c r="C56" s="59">
        <v>1575</v>
      </c>
      <c r="D56" s="70">
        <v>0.80976800000000004</v>
      </c>
      <c r="E56" s="59">
        <v>370</v>
      </c>
      <c r="F56" s="70">
        <v>0.19023100000000001</v>
      </c>
      <c r="G56" s="59">
        <v>1281</v>
      </c>
      <c r="H56" s="70">
        <v>0.79417199999999999</v>
      </c>
      <c r="I56" s="59">
        <v>332</v>
      </c>
      <c r="J56" s="70">
        <v>0.20582700000000001</v>
      </c>
      <c r="K56" s="59">
        <v>1088</v>
      </c>
      <c r="L56" s="70">
        <v>0.79300199999999998</v>
      </c>
      <c r="M56" s="59">
        <v>284</v>
      </c>
      <c r="N56" s="70">
        <v>0.20699699999999999</v>
      </c>
      <c r="O56" s="59">
        <v>1002</v>
      </c>
      <c r="P56" s="70">
        <v>0.81199299999999996</v>
      </c>
      <c r="Q56" s="59">
        <v>232</v>
      </c>
      <c r="R56" s="70">
        <v>0.18800600000000001</v>
      </c>
      <c r="S56" s="59">
        <v>986</v>
      </c>
      <c r="T56" s="70">
        <v>0.79388000000000003</v>
      </c>
      <c r="U56" s="59">
        <v>256</v>
      </c>
      <c r="V56" s="70">
        <v>0.206119</v>
      </c>
      <c r="W56" s="59">
        <v>1042</v>
      </c>
      <c r="X56" s="70">
        <v>0.79969299999999999</v>
      </c>
      <c r="Y56" s="59">
        <v>261</v>
      </c>
      <c r="Z56" s="70">
        <v>0.20030600000000001</v>
      </c>
      <c r="AA56" s="59">
        <v>1062</v>
      </c>
      <c r="AB56" s="70">
        <v>0.79194600000000004</v>
      </c>
      <c r="AC56" s="59">
        <v>279</v>
      </c>
      <c r="AD56" s="70">
        <v>0.20805299999999999</v>
      </c>
      <c r="AE56" s="59">
        <v>994</v>
      </c>
      <c r="AF56" s="70">
        <v>0.77414300000000003</v>
      </c>
      <c r="AG56" s="59">
        <v>290</v>
      </c>
      <c r="AH56" s="70">
        <v>0.225856</v>
      </c>
      <c r="AI56" s="59">
        <v>965</v>
      </c>
      <c r="AJ56" s="70">
        <v>0.76465899999999998</v>
      </c>
      <c r="AK56" s="59">
        <v>297</v>
      </c>
      <c r="AL56" s="70">
        <v>0.23533999999999999</v>
      </c>
      <c r="AM56" s="59">
        <v>942</v>
      </c>
      <c r="AN56" s="70">
        <v>0.75541199999999997</v>
      </c>
      <c r="AO56" s="59">
        <v>305</v>
      </c>
      <c r="AP56" s="70">
        <v>0.244587</v>
      </c>
    </row>
    <row r="57" spans="2:42" x14ac:dyDescent="0.2">
      <c r="B57" s="58" t="s">
        <v>19</v>
      </c>
      <c r="C57" s="59">
        <v>1636</v>
      </c>
      <c r="D57" s="70">
        <v>0.71161300000000005</v>
      </c>
      <c r="E57" s="59">
        <v>663</v>
      </c>
      <c r="F57" s="70">
        <v>0.28838599999999998</v>
      </c>
      <c r="G57" s="59">
        <v>1509</v>
      </c>
      <c r="H57" s="70">
        <v>0.68935500000000005</v>
      </c>
      <c r="I57" s="59">
        <v>680</v>
      </c>
      <c r="J57" s="70">
        <v>0.31064399999999998</v>
      </c>
      <c r="K57" s="59">
        <v>1619</v>
      </c>
      <c r="L57" s="70">
        <v>0.69754400000000005</v>
      </c>
      <c r="M57" s="59">
        <v>702</v>
      </c>
      <c r="N57" s="70">
        <v>0.30245499999999997</v>
      </c>
      <c r="O57" s="59">
        <v>1560</v>
      </c>
      <c r="P57" s="70">
        <v>0.69118199999999996</v>
      </c>
      <c r="Q57" s="59">
        <v>697</v>
      </c>
      <c r="R57" s="70">
        <v>0.30881700000000001</v>
      </c>
      <c r="S57" s="59">
        <v>1568</v>
      </c>
      <c r="T57" s="70">
        <v>0.70031200000000005</v>
      </c>
      <c r="U57" s="59">
        <v>671</v>
      </c>
      <c r="V57" s="70">
        <v>0.29968699999999998</v>
      </c>
      <c r="W57" s="59">
        <v>1577</v>
      </c>
      <c r="X57" s="70">
        <v>0.70464700000000002</v>
      </c>
      <c r="Y57" s="59">
        <v>661</v>
      </c>
      <c r="Z57" s="70">
        <v>0.295352</v>
      </c>
      <c r="AA57" s="59">
        <v>1557</v>
      </c>
      <c r="AB57" s="70">
        <v>0.69664400000000004</v>
      </c>
      <c r="AC57" s="59">
        <v>678</v>
      </c>
      <c r="AD57" s="70">
        <v>0.30335499999999999</v>
      </c>
      <c r="AE57" s="59">
        <v>1539</v>
      </c>
      <c r="AF57" s="70">
        <v>0.70823700000000001</v>
      </c>
      <c r="AG57" s="59">
        <v>634</v>
      </c>
      <c r="AH57" s="70">
        <v>0.29176200000000002</v>
      </c>
      <c r="AI57" s="59">
        <v>1451</v>
      </c>
      <c r="AJ57" s="70">
        <v>0.68767699999999998</v>
      </c>
      <c r="AK57" s="59">
        <v>659</v>
      </c>
      <c r="AL57" s="70">
        <v>0.31232199999999999</v>
      </c>
      <c r="AM57" s="59">
        <v>1456</v>
      </c>
      <c r="AN57" s="70">
        <v>0.70372100000000004</v>
      </c>
      <c r="AO57" s="59">
        <v>613</v>
      </c>
      <c r="AP57" s="70">
        <v>0.29627799999999999</v>
      </c>
    </row>
    <row r="58" spans="2:42" x14ac:dyDescent="0.2">
      <c r="B58" s="58" t="s">
        <v>20</v>
      </c>
      <c r="C58" s="59">
        <v>733</v>
      </c>
      <c r="D58" s="70">
        <v>0.74643499999999996</v>
      </c>
      <c r="E58" s="59">
        <v>249</v>
      </c>
      <c r="F58" s="70">
        <v>0.25356400000000001</v>
      </c>
      <c r="G58" s="59">
        <v>586</v>
      </c>
      <c r="H58" s="70">
        <v>0.73525700000000005</v>
      </c>
      <c r="I58" s="59">
        <v>211</v>
      </c>
      <c r="J58" s="70">
        <v>0.26474199999999998</v>
      </c>
      <c r="K58" s="59">
        <v>489</v>
      </c>
      <c r="L58" s="70">
        <v>0.73094099999999995</v>
      </c>
      <c r="M58" s="59">
        <v>180</v>
      </c>
      <c r="N58" s="70">
        <v>0.26905800000000002</v>
      </c>
      <c r="O58" s="59">
        <v>513</v>
      </c>
      <c r="P58" s="70">
        <v>0.73495699999999997</v>
      </c>
      <c r="Q58" s="59">
        <v>185</v>
      </c>
      <c r="R58" s="70">
        <v>0.265042</v>
      </c>
      <c r="S58" s="59">
        <v>474</v>
      </c>
      <c r="T58" s="70">
        <v>0.72255999999999998</v>
      </c>
      <c r="U58" s="59">
        <v>182</v>
      </c>
      <c r="V58" s="70">
        <v>0.27743899999999999</v>
      </c>
      <c r="W58" s="59">
        <v>504</v>
      </c>
      <c r="X58" s="70">
        <v>0.71287100000000003</v>
      </c>
      <c r="Y58" s="59">
        <v>203</v>
      </c>
      <c r="Z58" s="70">
        <v>0.28712799999999999</v>
      </c>
      <c r="AA58" s="59">
        <v>554</v>
      </c>
      <c r="AB58" s="70">
        <v>0.696855</v>
      </c>
      <c r="AC58" s="59">
        <v>241</v>
      </c>
      <c r="AD58" s="70">
        <v>0.30314400000000002</v>
      </c>
      <c r="AE58" s="59">
        <v>600</v>
      </c>
      <c r="AF58" s="70">
        <v>0.71428499999999995</v>
      </c>
      <c r="AG58" s="59">
        <v>240</v>
      </c>
      <c r="AH58" s="70">
        <v>0.28571400000000002</v>
      </c>
      <c r="AI58" s="59">
        <v>658</v>
      </c>
      <c r="AJ58" s="70">
        <v>0.71677500000000005</v>
      </c>
      <c r="AK58" s="59">
        <v>260</v>
      </c>
      <c r="AL58" s="70">
        <v>0.28322399999999998</v>
      </c>
      <c r="AM58" s="59">
        <v>737</v>
      </c>
      <c r="AN58" s="70">
        <v>0.740703</v>
      </c>
      <c r="AO58" s="59">
        <v>258</v>
      </c>
      <c r="AP58" s="70">
        <v>0.25929600000000003</v>
      </c>
    </row>
    <row r="59" spans="2:42" x14ac:dyDescent="0.2">
      <c r="B59" s="58" t="s">
        <v>21</v>
      </c>
      <c r="C59" s="59">
        <v>234</v>
      </c>
      <c r="D59" s="70">
        <v>0.69642800000000005</v>
      </c>
      <c r="E59" s="59">
        <v>102</v>
      </c>
      <c r="F59" s="70">
        <v>0.30357099999999998</v>
      </c>
      <c r="G59" s="59">
        <v>223</v>
      </c>
      <c r="H59" s="70">
        <v>0.661721</v>
      </c>
      <c r="I59" s="59">
        <v>114</v>
      </c>
      <c r="J59" s="70">
        <v>0.33827800000000002</v>
      </c>
      <c r="K59" s="59">
        <v>239</v>
      </c>
      <c r="L59" s="70">
        <v>0.66573800000000005</v>
      </c>
      <c r="M59" s="59">
        <v>120</v>
      </c>
      <c r="N59" s="70">
        <v>0.33426099999999997</v>
      </c>
      <c r="O59" s="59">
        <v>257</v>
      </c>
      <c r="P59" s="70">
        <v>0.63456699999999999</v>
      </c>
      <c r="Q59" s="59">
        <v>148</v>
      </c>
      <c r="R59" s="70">
        <v>0.36543199999999998</v>
      </c>
      <c r="S59" s="59">
        <v>242</v>
      </c>
      <c r="T59" s="70">
        <v>0.61111099999999996</v>
      </c>
      <c r="U59" s="59">
        <v>154</v>
      </c>
      <c r="V59" s="70">
        <v>0.38888800000000001</v>
      </c>
      <c r="W59" s="59">
        <v>220</v>
      </c>
      <c r="X59" s="70">
        <v>0.56847499999999995</v>
      </c>
      <c r="Y59" s="59">
        <v>167</v>
      </c>
      <c r="Z59" s="70">
        <v>0.43152400000000002</v>
      </c>
      <c r="AA59" s="59">
        <v>198</v>
      </c>
      <c r="AB59" s="70">
        <v>0.527999</v>
      </c>
      <c r="AC59" s="59">
        <v>177</v>
      </c>
      <c r="AD59" s="70">
        <v>0.471999</v>
      </c>
      <c r="AE59" s="59">
        <v>180</v>
      </c>
      <c r="AF59" s="70">
        <v>0.50704199999999999</v>
      </c>
      <c r="AG59" s="59">
        <v>175</v>
      </c>
      <c r="AH59" s="70">
        <v>0.49295699999999998</v>
      </c>
      <c r="AI59" s="59">
        <v>193</v>
      </c>
      <c r="AJ59" s="70">
        <v>0.53910599999999997</v>
      </c>
      <c r="AK59" s="59">
        <v>165</v>
      </c>
      <c r="AL59" s="70">
        <v>0.460893</v>
      </c>
      <c r="AM59" s="59">
        <v>226</v>
      </c>
      <c r="AN59" s="70">
        <v>0.55121900000000001</v>
      </c>
      <c r="AO59" s="59">
        <v>184</v>
      </c>
      <c r="AP59" s="70">
        <v>0.44878000000000001</v>
      </c>
    </row>
    <row r="60" spans="2:42" x14ac:dyDescent="0.2">
      <c r="B60" s="58" t="s">
        <v>22</v>
      </c>
      <c r="C60" s="59">
        <v>398</v>
      </c>
      <c r="D60" s="70">
        <v>0.85407699999999998</v>
      </c>
      <c r="E60" s="59">
        <v>68</v>
      </c>
      <c r="F60" s="70">
        <v>0.145922</v>
      </c>
      <c r="G60" s="59">
        <v>335</v>
      </c>
      <c r="H60" s="70">
        <v>0.83959799999999996</v>
      </c>
      <c r="I60" s="59">
        <v>64</v>
      </c>
      <c r="J60" s="70">
        <v>0.16040099999999999</v>
      </c>
      <c r="K60" s="59">
        <v>261</v>
      </c>
      <c r="L60" s="70">
        <v>0.85016199999999997</v>
      </c>
      <c r="M60" s="59">
        <v>46</v>
      </c>
      <c r="N60" s="70">
        <v>0.149837</v>
      </c>
      <c r="O60" s="59">
        <v>206</v>
      </c>
      <c r="P60" s="70">
        <v>0.81422899999999998</v>
      </c>
      <c r="Q60" s="59">
        <v>47</v>
      </c>
      <c r="R60" s="70">
        <v>0.18576999999999999</v>
      </c>
      <c r="S60" s="59">
        <v>144</v>
      </c>
      <c r="T60" s="70">
        <v>0.87272700000000003</v>
      </c>
      <c r="U60" s="59">
        <v>21</v>
      </c>
      <c r="V60" s="70">
        <v>0.127272</v>
      </c>
      <c r="W60" s="59">
        <v>104</v>
      </c>
      <c r="X60" s="70">
        <v>0.85950400000000005</v>
      </c>
      <c r="Y60" s="59">
        <v>17</v>
      </c>
      <c r="Z60" s="70">
        <v>0.14049500000000001</v>
      </c>
      <c r="AA60" s="59">
        <v>70</v>
      </c>
      <c r="AB60" s="70">
        <v>0.81395300000000004</v>
      </c>
      <c r="AC60" s="59">
        <v>16</v>
      </c>
      <c r="AD60" s="70">
        <v>0.18604599999999999</v>
      </c>
      <c r="AE60" s="59">
        <v>52</v>
      </c>
      <c r="AF60" s="70">
        <v>0.85245899999999997</v>
      </c>
      <c r="AG60" s="59">
        <v>9</v>
      </c>
      <c r="AH60" s="70">
        <v>0.14754</v>
      </c>
      <c r="AI60" s="59">
        <v>30</v>
      </c>
      <c r="AJ60" s="70">
        <v>0.78947299999999998</v>
      </c>
      <c r="AK60" s="59">
        <v>8</v>
      </c>
      <c r="AL60" s="70">
        <v>0.21052599999999999</v>
      </c>
      <c r="AM60" s="59">
        <v>19</v>
      </c>
      <c r="AN60" s="70">
        <v>0.82608599999999999</v>
      </c>
      <c r="AO60" s="59">
        <v>4</v>
      </c>
      <c r="AP60" s="70">
        <v>0.17391300000000001</v>
      </c>
    </row>
    <row r="61" spans="2:42" x14ac:dyDescent="0.2">
      <c r="B61" s="58" t="s">
        <v>23</v>
      </c>
      <c r="C61" s="59">
        <v>890</v>
      </c>
      <c r="D61" s="70">
        <v>0.79111100000000001</v>
      </c>
      <c r="E61" s="59">
        <v>235</v>
      </c>
      <c r="F61" s="70">
        <v>0.20888799999999999</v>
      </c>
      <c r="G61" s="59">
        <v>849</v>
      </c>
      <c r="H61" s="70">
        <v>0.78538300000000005</v>
      </c>
      <c r="I61" s="59">
        <v>232</v>
      </c>
      <c r="J61" s="70">
        <v>0.214616</v>
      </c>
      <c r="K61" s="59">
        <v>727</v>
      </c>
      <c r="L61" s="70">
        <v>0.77012700000000001</v>
      </c>
      <c r="M61" s="59">
        <v>217</v>
      </c>
      <c r="N61" s="70">
        <v>0.22987199999999999</v>
      </c>
      <c r="O61" s="59">
        <v>668</v>
      </c>
      <c r="P61" s="70">
        <v>0.74971900000000002</v>
      </c>
      <c r="Q61" s="59">
        <v>223</v>
      </c>
      <c r="R61" s="70">
        <v>0.25028</v>
      </c>
      <c r="S61" s="59">
        <v>628</v>
      </c>
      <c r="T61" s="70">
        <v>0.71689400000000003</v>
      </c>
      <c r="U61" s="59">
        <v>248</v>
      </c>
      <c r="V61" s="70">
        <v>0.283105</v>
      </c>
      <c r="W61" s="59">
        <v>669</v>
      </c>
      <c r="X61" s="70">
        <v>0.74004400000000004</v>
      </c>
      <c r="Y61" s="59">
        <v>235</v>
      </c>
      <c r="Z61" s="70">
        <v>0.25995499999999999</v>
      </c>
      <c r="AA61" s="59">
        <v>723</v>
      </c>
      <c r="AB61" s="70">
        <v>0.763463</v>
      </c>
      <c r="AC61" s="59">
        <v>224</v>
      </c>
      <c r="AD61" s="70">
        <v>0.236536</v>
      </c>
      <c r="AE61" s="59">
        <v>763</v>
      </c>
      <c r="AF61" s="70">
        <v>0.78659699999999999</v>
      </c>
      <c r="AG61" s="59">
        <v>207</v>
      </c>
      <c r="AH61" s="70">
        <v>0.21340200000000001</v>
      </c>
      <c r="AI61" s="59">
        <v>772</v>
      </c>
      <c r="AJ61" s="70">
        <v>0.770459</v>
      </c>
      <c r="AK61" s="59">
        <v>230</v>
      </c>
      <c r="AL61" s="70">
        <v>0.22953999999999999</v>
      </c>
      <c r="AM61" s="59">
        <v>788</v>
      </c>
      <c r="AN61" s="70">
        <v>0.77028300000000005</v>
      </c>
      <c r="AO61" s="59">
        <v>235</v>
      </c>
      <c r="AP61" s="70">
        <v>0.229716</v>
      </c>
    </row>
    <row r="62" spans="2:42" x14ac:dyDescent="0.2">
      <c r="B62" s="58" t="s">
        <v>24</v>
      </c>
      <c r="C62" s="59">
        <v>931</v>
      </c>
      <c r="D62" s="70">
        <v>0.78698199999999996</v>
      </c>
      <c r="E62" s="59">
        <v>252</v>
      </c>
      <c r="F62" s="70">
        <v>0.21301700000000001</v>
      </c>
      <c r="G62" s="59">
        <v>816</v>
      </c>
      <c r="H62" s="70">
        <v>0.77640299999999995</v>
      </c>
      <c r="I62" s="59">
        <v>235</v>
      </c>
      <c r="J62" s="70">
        <v>0.22359599999999999</v>
      </c>
      <c r="K62" s="59">
        <v>751</v>
      </c>
      <c r="L62" s="70">
        <v>0.74209400000000003</v>
      </c>
      <c r="M62" s="59">
        <v>261</v>
      </c>
      <c r="N62" s="70">
        <v>0.257905</v>
      </c>
      <c r="O62" s="59">
        <v>745</v>
      </c>
      <c r="P62" s="70">
        <v>0.74649200000000004</v>
      </c>
      <c r="Q62" s="59">
        <v>253</v>
      </c>
      <c r="R62" s="70">
        <v>0.25350699999999998</v>
      </c>
      <c r="S62" s="59">
        <v>789</v>
      </c>
      <c r="T62" s="70">
        <v>0.75142799999999998</v>
      </c>
      <c r="U62" s="59">
        <v>261</v>
      </c>
      <c r="V62" s="70">
        <v>0.24857099999999999</v>
      </c>
      <c r="W62" s="59">
        <v>757</v>
      </c>
      <c r="X62" s="70">
        <v>0.73423799999999995</v>
      </c>
      <c r="Y62" s="59">
        <v>274</v>
      </c>
      <c r="Z62" s="70">
        <v>0.26576100000000002</v>
      </c>
      <c r="AA62" s="59">
        <v>815</v>
      </c>
      <c r="AB62" s="70">
        <v>0.75673100000000004</v>
      </c>
      <c r="AC62" s="59">
        <v>262</v>
      </c>
      <c r="AD62" s="70">
        <v>0.24326800000000001</v>
      </c>
      <c r="AE62" s="59">
        <v>786</v>
      </c>
      <c r="AF62" s="70">
        <v>0.78915599999999997</v>
      </c>
      <c r="AG62" s="59">
        <v>210</v>
      </c>
      <c r="AH62" s="70">
        <v>0.210843</v>
      </c>
      <c r="AI62" s="59">
        <v>699</v>
      </c>
      <c r="AJ62" s="70">
        <v>0.77067200000000002</v>
      </c>
      <c r="AK62" s="59">
        <v>208</v>
      </c>
      <c r="AL62" s="70">
        <v>0.229327</v>
      </c>
      <c r="AM62" s="59">
        <v>617</v>
      </c>
      <c r="AN62" s="70">
        <v>0.76172799999999996</v>
      </c>
      <c r="AO62" s="59">
        <v>193</v>
      </c>
      <c r="AP62" s="70">
        <v>0.23827100000000001</v>
      </c>
    </row>
    <row r="63" spans="2:42" x14ac:dyDescent="0.2">
      <c r="B63" s="58" t="s">
        <v>25</v>
      </c>
      <c r="C63" s="59">
        <v>490</v>
      </c>
      <c r="D63" s="70">
        <v>0.59321999999999997</v>
      </c>
      <c r="E63" s="59">
        <v>336</v>
      </c>
      <c r="F63" s="70">
        <v>0.406779</v>
      </c>
      <c r="G63" s="59">
        <v>449</v>
      </c>
      <c r="H63" s="70">
        <v>0.59786899999999998</v>
      </c>
      <c r="I63" s="59">
        <v>302</v>
      </c>
      <c r="J63" s="70">
        <v>0.40212999999999999</v>
      </c>
      <c r="K63" s="59">
        <v>425</v>
      </c>
      <c r="L63" s="70">
        <v>0.60801099999999997</v>
      </c>
      <c r="M63" s="59">
        <v>274</v>
      </c>
      <c r="N63" s="70">
        <v>0.391988</v>
      </c>
      <c r="O63" s="59">
        <v>449</v>
      </c>
      <c r="P63" s="70">
        <v>0.59707399999999999</v>
      </c>
      <c r="Q63" s="59">
        <v>303</v>
      </c>
      <c r="R63" s="70">
        <v>0.40292499999999998</v>
      </c>
      <c r="S63" s="59">
        <v>551</v>
      </c>
      <c r="T63" s="70">
        <v>0.60682800000000003</v>
      </c>
      <c r="U63" s="59">
        <v>357</v>
      </c>
      <c r="V63" s="70">
        <v>0.39317099999999999</v>
      </c>
      <c r="W63" s="59">
        <v>669</v>
      </c>
      <c r="X63" s="70">
        <v>0.64019099999999995</v>
      </c>
      <c r="Y63" s="59">
        <v>376</v>
      </c>
      <c r="Z63" s="70">
        <v>0.35980800000000002</v>
      </c>
      <c r="AA63" s="59">
        <v>813</v>
      </c>
      <c r="AB63" s="70">
        <v>0.66803599999999996</v>
      </c>
      <c r="AC63" s="59">
        <v>404</v>
      </c>
      <c r="AD63" s="70">
        <v>0.33196300000000001</v>
      </c>
      <c r="AE63" s="59">
        <v>817</v>
      </c>
      <c r="AF63" s="70">
        <v>0.64995999999999998</v>
      </c>
      <c r="AG63" s="59">
        <v>440</v>
      </c>
      <c r="AH63" s="70">
        <v>0.35003899999999999</v>
      </c>
      <c r="AI63" s="59">
        <v>813</v>
      </c>
      <c r="AJ63" s="70">
        <v>0.63219199999999998</v>
      </c>
      <c r="AK63" s="59">
        <v>473</v>
      </c>
      <c r="AL63" s="70">
        <v>0.367807</v>
      </c>
      <c r="AM63" s="59">
        <v>822</v>
      </c>
      <c r="AN63" s="70">
        <v>0.61434900000000003</v>
      </c>
      <c r="AO63" s="59">
        <v>516</v>
      </c>
      <c r="AP63" s="70">
        <v>0.38564999999999999</v>
      </c>
    </row>
    <row r="64" spans="2:42" x14ac:dyDescent="0.2">
      <c r="B64" s="61" t="s">
        <v>26</v>
      </c>
      <c r="C64" s="62">
        <v>1617</v>
      </c>
      <c r="D64" s="72">
        <v>0.71611999999999998</v>
      </c>
      <c r="E64" s="62">
        <v>641</v>
      </c>
      <c r="F64" s="72">
        <v>0.28387899999999999</v>
      </c>
      <c r="G64" s="62">
        <v>1612</v>
      </c>
      <c r="H64" s="72">
        <v>0.71138500000000005</v>
      </c>
      <c r="I64" s="62">
        <v>654</v>
      </c>
      <c r="J64" s="72">
        <v>0.28861399999999998</v>
      </c>
      <c r="K64" s="62">
        <v>1492</v>
      </c>
      <c r="L64" s="72">
        <v>0.70577100000000004</v>
      </c>
      <c r="M64" s="62">
        <v>622</v>
      </c>
      <c r="N64" s="72">
        <v>0.29422799999999999</v>
      </c>
      <c r="O64" s="62">
        <v>1520</v>
      </c>
      <c r="P64" s="72">
        <v>0.71227700000000005</v>
      </c>
      <c r="Q64" s="62">
        <v>614</v>
      </c>
      <c r="R64" s="72">
        <v>0.28772199999999998</v>
      </c>
      <c r="S64" s="62">
        <v>1591</v>
      </c>
      <c r="T64" s="72">
        <v>0.70963399999999999</v>
      </c>
      <c r="U64" s="62">
        <v>651</v>
      </c>
      <c r="V64" s="72">
        <v>0.29036499999999998</v>
      </c>
      <c r="W64" s="62">
        <v>1703</v>
      </c>
      <c r="X64" s="72">
        <v>0.71404599999999996</v>
      </c>
      <c r="Y64" s="62">
        <v>682</v>
      </c>
      <c r="Z64" s="72">
        <v>0.28595300000000001</v>
      </c>
      <c r="AA64" s="62">
        <v>1916</v>
      </c>
      <c r="AB64" s="72">
        <v>0.73466200000000004</v>
      </c>
      <c r="AC64" s="62">
        <v>692</v>
      </c>
      <c r="AD64" s="72">
        <v>0.26533699999999999</v>
      </c>
      <c r="AE64" s="62">
        <v>2103</v>
      </c>
      <c r="AF64" s="72">
        <v>0.73660199999999998</v>
      </c>
      <c r="AG64" s="62">
        <v>752</v>
      </c>
      <c r="AH64" s="72">
        <v>0.26339699999999999</v>
      </c>
      <c r="AI64" s="62">
        <v>2192</v>
      </c>
      <c r="AJ64" s="72">
        <v>0.74053999999999998</v>
      </c>
      <c r="AK64" s="62">
        <v>768</v>
      </c>
      <c r="AL64" s="72">
        <v>0.259459</v>
      </c>
      <c r="AM64" s="62">
        <v>2249</v>
      </c>
      <c r="AN64" s="72">
        <v>0.73641100000000004</v>
      </c>
      <c r="AO64" s="62">
        <v>805</v>
      </c>
      <c r="AP64" s="72">
        <v>0.26358799999999999</v>
      </c>
    </row>
    <row r="65" spans="2:42" x14ac:dyDescent="0.2">
      <c r="B65" s="20" t="s">
        <v>27</v>
      </c>
      <c r="C65" s="21">
        <f>SUBTOTAL(109,'Non Traditonal Enrollment Trend'!$C$51:$C$64)</f>
        <v>12221</v>
      </c>
      <c r="D65" s="22">
        <f>'Non Traditonal Enrollment Trend'!$C$65/('Non Traditonal Enrollment Trend'!$C$65 +'Non Traditonal Enrollment Trend'!$E$65)</f>
        <v>0.73892012818187314</v>
      </c>
      <c r="E65" s="21">
        <f>SUBTOTAL(109,'Non Traditonal Enrollment Trend'!$E$51:$E$64)</f>
        <v>4318</v>
      </c>
      <c r="F65" s="22">
        <f>'Non Traditonal Enrollment Trend'!$E$65 / ('Non Traditonal Enrollment Trend'!$C$65 +'Non Traditonal Enrollment Trend'!$E$65)</f>
        <v>0.26107987181812686</v>
      </c>
      <c r="G65" s="21">
        <f>SUBTOTAL(109,'Non Traditonal Enrollment Trend'!$G$51:$G$64)</f>
        <v>11098</v>
      </c>
      <c r="H65" s="22">
        <f>'Non Traditonal Enrollment Trend'!$G$65 / ('Non Traditonal Enrollment Trend'!$G$65 +'Non Traditonal Enrollment Trend'!$I$65)</f>
        <v>0.72422344035499875</v>
      </c>
      <c r="I65" s="21">
        <f>SUBTOTAL(109,'Non Traditonal Enrollment Trend'!$I$51:$I$64)</f>
        <v>4226</v>
      </c>
      <c r="J65" s="22">
        <f>'Non Traditonal Enrollment Trend'!$I$65/('Non Traditonal Enrollment Trend'!$I$65 + 'Non Traditonal Enrollment Trend'!$G$65)</f>
        <v>0.27577655964500131</v>
      </c>
      <c r="K65" s="21">
        <f>SUBTOTAL(109,'Non Traditonal Enrollment Trend'!$K$51:$K$64)</f>
        <v>10078</v>
      </c>
      <c r="L65" s="22">
        <f>'Non Traditonal Enrollment Trend'!$K$65 / ('Non Traditonal Enrollment Trend'!$K$65 + 'Non Traditonal Enrollment Trend'!$M$65)</f>
        <v>0.71368883223567736</v>
      </c>
      <c r="M65" s="21">
        <f>SUBTOTAL(109,'Non Traditonal Enrollment Trend'!$M$51:$M$64)</f>
        <v>4043</v>
      </c>
      <c r="N65" s="22">
        <f>'Non Traditonal Enrollment Trend'!$M$65 / ('Non Traditonal Enrollment Trend'!$M$65 + 'Non Traditonal Enrollment Trend'!$K$65)</f>
        <v>0.28631116776432264</v>
      </c>
      <c r="O65" s="21">
        <f>SUBTOTAL(109,'Non Traditonal Enrollment Trend'!$O$51:$O$64)</f>
        <v>9701</v>
      </c>
      <c r="P65" s="22">
        <f>'Non Traditonal Enrollment Trend'!$O$65 / ('Non Traditonal Enrollment Trend'!$O$65 +'Non Traditonal Enrollment Trend'!$Q$65)</f>
        <v>0.7116343896713615</v>
      </c>
      <c r="Q65" s="21">
        <f>SUBTOTAL(109,'Non Traditonal Enrollment Trend'!$Q$51:$Q$64)</f>
        <v>3931</v>
      </c>
      <c r="R65" s="22">
        <f>'Non Traditonal Enrollment Trend'!$Q$65 / ('Non Traditonal Enrollment Trend'!$Q$65 +'Non Traditonal Enrollment Trend'!$O$65)</f>
        <v>0.2883656103286385</v>
      </c>
      <c r="S65" s="21">
        <f>SUBTOTAL(109,'Non Traditonal Enrollment Trend'!$S$51:$S$64)</f>
        <v>9818</v>
      </c>
      <c r="T65" s="22">
        <f>'Non Traditonal Enrollment Trend'!$S$65 / ('Non Traditonal Enrollment Trend'!$S$65 +'Non Traditonal Enrollment Trend'!$U$65)</f>
        <v>0.71134618171279529</v>
      </c>
      <c r="U65" s="21">
        <f>SUBTOTAL(109,'Non Traditonal Enrollment Trend'!$U$51:$U$64)</f>
        <v>3984</v>
      </c>
      <c r="V65" s="22">
        <f>'Non Traditonal Enrollment Trend'!$U$65 / ( 'Non Traditonal Enrollment Trend'!$U$65 +'Non Traditonal Enrollment Trend'!$S$65)</f>
        <v>0.28865381828720477</v>
      </c>
      <c r="W65" s="21">
        <f>SUBTOTAL(109,'Non Traditonal Enrollment Trend'!$W$51:$W$64)</f>
        <v>10143</v>
      </c>
      <c r="X65" s="22">
        <f>'Non Traditonal Enrollment Trend'!$W$65 / ('Non Traditonal Enrollment Trend'!$W$65 + 'Non Traditonal Enrollment Trend'!$Y$65)</f>
        <v>0.70890410958904104</v>
      </c>
      <c r="Y65" s="21">
        <f>SUBTOTAL(109,'Non Traditonal Enrollment Trend'!$Y$51:$Y$64)</f>
        <v>4165</v>
      </c>
      <c r="Z65" s="22">
        <f>'Non Traditonal Enrollment Trend'!$Y$65 / ('Non Traditonal Enrollment Trend'!$Y$65 +'Non Traditonal Enrollment Trend'!$W$65)</f>
        <v>0.2910958904109589</v>
      </c>
      <c r="AA65" s="21">
        <f>SUBTOTAL(109,'Non Traditonal Enrollment Trend'!$AA$51:$AA$64)</f>
        <v>10726</v>
      </c>
      <c r="AB65" s="22">
        <f>'Non Traditonal Enrollment Trend'!$AA$65/( 'Non Traditonal Enrollment Trend'!$AA$65 +'Non Traditonal Enrollment Trend'!$AC$65)</f>
        <v>0.71616478600520794</v>
      </c>
      <c r="AC65" s="21">
        <f>SUBTOTAL(109,'Non Traditonal Enrollment Trend'!$AC$51:$AC$64)</f>
        <v>4251</v>
      </c>
      <c r="AD65" s="22">
        <f>'Non Traditonal Enrollment Trend'!$AC$65 / ('Non Traditonal Enrollment Trend'!$AC$65 + 'Non Traditonal Enrollment Trend'!$AA$65)</f>
        <v>0.283835213994792</v>
      </c>
      <c r="AE65" s="21">
        <f>SUBTOTAL(109,'Non Traditonal Enrollment Trend'!$AE$51:$AE$64)</f>
        <v>11084</v>
      </c>
      <c r="AF65" s="22">
        <f>'Non Traditonal Enrollment Trend'!$AE$65 / ('Non Traditonal Enrollment Trend'!$AE$65 +'Non Traditonal Enrollment Trend'!$AG$65)</f>
        <v>0.72302674494455321</v>
      </c>
      <c r="AG65" s="21">
        <f>SUBTOTAL(109,'Non Traditonal Enrollment Trend'!$AG$51:$AG$64)</f>
        <v>4246</v>
      </c>
      <c r="AH65" s="22">
        <f>'Non Traditonal Enrollment Trend'!$AG$65 / ('Non Traditonal Enrollment Trend'!$AG$65 +'Non Traditonal Enrollment Trend'!$AE$65)</f>
        <v>0.27697325505544684</v>
      </c>
      <c r="AI65" s="21">
        <f>SUBTOTAL(109,'Non Traditonal Enrollment Trend'!$AI$51:$AI$64)</f>
        <v>10992</v>
      </c>
      <c r="AJ65" s="22">
        <f>'Non Traditonal Enrollment Trend'!$AI$65 / ('Non Traditonal Enrollment Trend'!$AI$65 +'Non Traditonal Enrollment Trend'!$AK$65)</f>
        <v>0.71894826345738772</v>
      </c>
      <c r="AK65" s="21">
        <f>SUBTOTAL(109,'Non Traditonal Enrollment Trend'!$AK$51:$AK$64)</f>
        <v>4297</v>
      </c>
      <c r="AL65" s="22">
        <f>'Non Traditonal Enrollment Trend'!$AK$65 / ('Non Traditonal Enrollment Trend'!$AK$65 +'Non Traditonal Enrollment Trend'!$AI$65)</f>
        <v>0.28105173654261234</v>
      </c>
      <c r="AM65" s="21">
        <f>SUBTOTAL(109,'Non Traditonal Enrollment Trend'!$AM$51:$AM$64)</f>
        <v>11014</v>
      </c>
      <c r="AN65" s="22">
        <f>'Non Traditonal Enrollment Trend'!$AM$65 / ('Non Traditonal Enrollment Trend'!$AM$65 +'Non Traditonal Enrollment Trend'!$AO$65)</f>
        <v>0.71631113423517168</v>
      </c>
      <c r="AO65" s="21">
        <f>SUBTOTAL(109,'Non Traditonal Enrollment Trend'!$AO$51:$AO$64)</f>
        <v>4362</v>
      </c>
      <c r="AP65" s="22">
        <f>'Non Traditonal Enrollment Trend'!$AO$65 / ('Non Traditonal Enrollment Trend'!$AO$65 +'Non Traditonal Enrollment Trend'!$AM$65)</f>
        <v>0.28368886576482832</v>
      </c>
    </row>
    <row r="69" spans="2:42" x14ac:dyDescent="0.2">
      <c r="B69" s="134" t="str">
        <f>IF(RIGHT(Parameters!B1,1) = "1","Fall ", "Spring ")</f>
        <v xml:space="preserve">Fall </v>
      </c>
      <c r="C69" s="133" t="s">
        <v>195</v>
      </c>
      <c r="D69" s="133"/>
      <c r="E69" s="133" t="s">
        <v>196</v>
      </c>
      <c r="F69" s="133"/>
      <c r="G69" s="133" t="s">
        <v>197</v>
      </c>
      <c r="H69" s="133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</row>
    <row r="70" spans="2:42" x14ac:dyDescent="0.2">
      <c r="B70" s="135"/>
      <c r="C70" s="52" t="s">
        <v>161</v>
      </c>
      <c r="D70" s="52" t="s">
        <v>162</v>
      </c>
      <c r="E70" s="52" t="s">
        <v>161</v>
      </c>
      <c r="F70" s="52" t="s">
        <v>162</v>
      </c>
      <c r="G70" s="52" t="s">
        <v>161</v>
      </c>
      <c r="H70" s="53" t="s">
        <v>162</v>
      </c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</row>
    <row r="71" spans="2:42" x14ac:dyDescent="0.2">
      <c r="B71" s="56" t="str">
        <f>CONCATENATE(IF(RIGHT(Parameters!B1,1) = "1",LEFT(Parameters!B1,4) -9, LEFT(Parameters!B1,4) - 8)," Traditional")</f>
        <v>2010 Traditional</v>
      </c>
      <c r="C71" s="57">
        <f>'Non Traditonal Enrollment Trend'!$E$43</f>
        <v>92232</v>
      </c>
      <c r="D71" s="68">
        <f>'Non Traditonal Enrollment Trend'!$F$43</f>
        <v>0.89568240526734899</v>
      </c>
      <c r="E71" s="57">
        <f>'Non Traditonal Enrollment Trend'!$E$65</f>
        <v>4318</v>
      </c>
      <c r="F71" s="79">
        <f>'Non Traditonal Enrollment Trend'!$F$65</f>
        <v>0.26107987181812686</v>
      </c>
      <c r="G71" s="80">
        <f>'Non Traditonal Enrollment Trend'!$E$21</f>
        <v>96550</v>
      </c>
      <c r="H71" s="81">
        <f>'Non Traditonal Enrollment Trend'!$F$21</f>
        <v>0.80786190623614162</v>
      </c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</row>
    <row r="72" spans="2:42" x14ac:dyDescent="0.2">
      <c r="B72" s="61" t="s">
        <v>198</v>
      </c>
      <c r="C72" s="62">
        <f>'Non Traditonal Enrollment Trend'!$C$43</f>
        <v>10742</v>
      </c>
      <c r="D72" s="72">
        <f>'Non Traditonal Enrollment Trend'!$D$43</f>
        <v>0.10431759473265097</v>
      </c>
      <c r="E72" s="62">
        <f>'Non Traditonal Enrollment Trend'!$C$65</f>
        <v>12221</v>
      </c>
      <c r="F72" s="82">
        <f>'Non Traditonal Enrollment Trend'!$D$65</f>
        <v>0.73892012818187314</v>
      </c>
      <c r="G72" s="83">
        <f>'Non Traditonal Enrollment Trend'!$C$21</f>
        <v>22963</v>
      </c>
      <c r="H72" s="84">
        <f>'Non Traditonal Enrollment Trend'!$D$21</f>
        <v>0.19213809376385832</v>
      </c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</row>
    <row r="73" spans="2:42" x14ac:dyDescent="0.2">
      <c r="B73" s="56" t="str">
        <f>CONCATENATE(IF(RIGHT(Parameters!B1,1) = "1",LEFT(Parameters!B1,4) -8, LEFT(Parameters!B1,4) - 7)," Traditional")</f>
        <v>2011 Traditional</v>
      </c>
      <c r="C73" s="57">
        <f>'Non Traditonal Enrollment Trend'!$I$43</f>
        <v>92658</v>
      </c>
      <c r="D73" s="68">
        <f>'Non Traditonal Enrollment Trend'!$J$43</f>
        <v>0.90046647230320698</v>
      </c>
      <c r="E73" s="57">
        <f>'Non Traditonal Enrollment Trend'!$I$65</f>
        <v>4226</v>
      </c>
      <c r="F73" s="79">
        <f>'Non Traditonal Enrollment Trend'!$J$65</f>
        <v>0.27577655964500131</v>
      </c>
      <c r="G73" s="80">
        <f>'Non Traditonal Enrollment Trend'!$I$21</f>
        <v>96884</v>
      </c>
      <c r="H73" s="81">
        <f>'Non Traditonal Enrollment Trend'!$J$21</f>
        <v>0.81949519556096906</v>
      </c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</row>
    <row r="74" spans="2:42" x14ac:dyDescent="0.2">
      <c r="B74" s="61" t="s">
        <v>198</v>
      </c>
      <c r="C74" s="62">
        <f>'Non Traditonal Enrollment Trend'!$G$43</f>
        <v>10242</v>
      </c>
      <c r="D74" s="72">
        <f>'Non Traditonal Enrollment Trend'!$H$43</f>
        <v>9.9533527696793009E-2</v>
      </c>
      <c r="E74" s="62">
        <f>'Non Traditonal Enrollment Trend'!$G$65</f>
        <v>11098</v>
      </c>
      <c r="F74" s="82">
        <f>'Non Traditonal Enrollment Trend'!$H$65</f>
        <v>0.72422344035499875</v>
      </c>
      <c r="G74" s="83">
        <f>'Non Traditonal Enrollment Trend'!$G$21</f>
        <v>21340</v>
      </c>
      <c r="H74" s="84">
        <f>'Non Traditonal Enrollment Trend'!$H$21</f>
        <v>0.180504804439031</v>
      </c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</row>
    <row r="75" spans="2:42" x14ac:dyDescent="0.2">
      <c r="B75" s="56" t="str">
        <f>CONCATENATE(IF(RIGHT(Parameters!B1,1) = "1",LEFT(Parameters!B1,4) -7, LEFT(Parameters!B1,4) - 6)," Traditional")</f>
        <v>2012 Traditional</v>
      </c>
      <c r="C75" s="57">
        <f>'Non Traditonal Enrollment Trend'!$M$43</f>
        <v>91055</v>
      </c>
      <c r="D75" s="68">
        <f>'Non Traditonal Enrollment Trend'!$N$43</f>
        <v>0.90541628963775389</v>
      </c>
      <c r="E75" s="57">
        <f>'Non Traditonal Enrollment Trend'!$M$65</f>
        <v>4043</v>
      </c>
      <c r="F75" s="79">
        <f>'Non Traditonal Enrollment Trend'!$N$65</f>
        <v>0.28631116776432264</v>
      </c>
      <c r="G75" s="80">
        <f>'Non Traditonal Enrollment Trend'!$M$21</f>
        <v>95098</v>
      </c>
      <c r="H75" s="81">
        <f>'Non Traditonal Enrollment Trend'!$N$21</f>
        <v>0.8291887555803571</v>
      </c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</row>
    <row r="76" spans="2:42" x14ac:dyDescent="0.2">
      <c r="B76" s="61" t="s">
        <v>198</v>
      </c>
      <c r="C76" s="62">
        <f>'Non Traditonal Enrollment Trend'!$K$43</f>
        <v>9512</v>
      </c>
      <c r="D76" s="72">
        <f>'Non Traditonal Enrollment Trend'!$L$43</f>
        <v>9.4583710362246068E-2</v>
      </c>
      <c r="E76" s="62">
        <f>'Non Traditonal Enrollment Trend'!$K$65</f>
        <v>10078</v>
      </c>
      <c r="F76" s="82">
        <f>'Non Traditonal Enrollment Trend'!$L$65</f>
        <v>0.71368883223567736</v>
      </c>
      <c r="G76" s="83">
        <f>'Non Traditonal Enrollment Trend'!$K$21</f>
        <v>19590</v>
      </c>
      <c r="H76" s="84">
        <f>'Non Traditonal Enrollment Trend'!$L$21</f>
        <v>0.17081124441964285</v>
      </c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</row>
    <row r="77" spans="2:42" x14ac:dyDescent="0.2">
      <c r="B77" s="56" t="str">
        <f>CONCATENATE(IF(RIGHT(Parameters!B1,1) = "1",LEFT(Parameters!B1,4) -6, LEFT(Parameters!B1,4) - 5)," Traditional")</f>
        <v>2013 Traditional</v>
      </c>
      <c r="C77" s="57">
        <f>'Non Traditonal Enrollment Trend'!$Q$43</f>
        <v>89559</v>
      </c>
      <c r="D77" s="68">
        <f>'Non Traditonal Enrollment Trend'!$R$43</f>
        <v>0.90837077682999812</v>
      </c>
      <c r="E77" s="57">
        <f>'Non Traditonal Enrollment Trend'!$Q$65</f>
        <v>3931</v>
      </c>
      <c r="F77" s="79">
        <f>'Non Traditonal Enrollment Trend'!$R$65</f>
        <v>0.2883656103286385</v>
      </c>
      <c r="G77" s="80">
        <f>'Non Traditonal Enrollment Trend'!$Q$21</f>
        <v>93490</v>
      </c>
      <c r="H77" s="81">
        <f>'Non Traditonal Enrollment Trend'!$R$21</f>
        <v>0.83305858765872132</v>
      </c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</row>
    <row r="78" spans="2:42" x14ac:dyDescent="0.2">
      <c r="B78" s="61" t="s">
        <v>198</v>
      </c>
      <c r="C78" s="62">
        <f>'Non Traditonal Enrollment Trend'!$O$43</f>
        <v>9034</v>
      </c>
      <c r="D78" s="72">
        <f>'Non Traditonal Enrollment Trend'!$P$43</f>
        <v>9.1629223170001925E-2</v>
      </c>
      <c r="E78" s="62">
        <f>'Non Traditonal Enrollment Trend'!$O$65</f>
        <v>9701</v>
      </c>
      <c r="F78" s="82">
        <f>'Non Traditonal Enrollment Trend'!$P$65</f>
        <v>0.7116343896713615</v>
      </c>
      <c r="G78" s="83">
        <f>'Non Traditonal Enrollment Trend'!$O$21</f>
        <v>18735</v>
      </c>
      <c r="H78" s="84">
        <f>'Non Traditonal Enrollment Trend'!$P$21</f>
        <v>0.16694141234127868</v>
      </c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</row>
    <row r="79" spans="2:42" x14ac:dyDescent="0.2">
      <c r="B79" s="56" t="str">
        <f>CONCATENATE(IF(RIGHT(Parameters!B1,1) = "1",LEFT(Parameters!B1,4) -5, LEFT(Parameters!B1,4) - 4)," Traditional")</f>
        <v>2014 Traditional</v>
      </c>
      <c r="C79" s="57">
        <f>'Non Traditonal Enrollment Trend'!$U$43</f>
        <v>87166</v>
      </c>
      <c r="D79" s="68">
        <f>'Non Traditonal Enrollment Trend'!$V$43</f>
        <v>0.90792242151532199</v>
      </c>
      <c r="E79" s="57">
        <f>'Non Traditonal Enrollment Trend'!$U$65</f>
        <v>3984</v>
      </c>
      <c r="F79" s="79">
        <f>'Non Traditonal Enrollment Trend'!$V$65</f>
        <v>0.28865381828720477</v>
      </c>
      <c r="G79" s="80">
        <f>'Non Traditonal Enrollment Trend'!$U$21</f>
        <v>91150</v>
      </c>
      <c r="H79" s="81">
        <f>'Non Traditonal Enrollment Trend'!$V$21</f>
        <v>0.83008523969109715</v>
      </c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</row>
    <row r="80" spans="2:42" x14ac:dyDescent="0.2">
      <c r="B80" s="61" t="s">
        <v>198</v>
      </c>
      <c r="C80" s="62">
        <f>'Non Traditonal Enrollment Trend'!$S$43</f>
        <v>8840</v>
      </c>
      <c r="D80" s="72">
        <f>'Non Traditonal Enrollment Trend'!$T$43</f>
        <v>9.2077578484678041E-2</v>
      </c>
      <c r="E80" s="62">
        <f>'Non Traditonal Enrollment Trend'!$S$65</f>
        <v>9818</v>
      </c>
      <c r="F80" s="82">
        <f>'Non Traditonal Enrollment Trend'!$T$65</f>
        <v>0.71134618171279529</v>
      </c>
      <c r="G80" s="83">
        <f>'Non Traditonal Enrollment Trend'!$S$21</f>
        <v>18658</v>
      </c>
      <c r="H80" s="84">
        <f>'Non Traditonal Enrollment Trend'!$T$21</f>
        <v>0.16991476030890282</v>
      </c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</row>
    <row r="81" spans="2:8" x14ac:dyDescent="0.2">
      <c r="B81" s="56" t="str">
        <f>CONCATENATE(IF(RIGHT(Parameters!B1,1) = "1",LEFT(Parameters!B1,4) -4, LEFT(Parameters!B1,4) - 3)," Traditional")</f>
        <v>2015 Traditional</v>
      </c>
      <c r="C81" s="57">
        <f>'Non Traditonal Enrollment Trend'!$Y$43</f>
        <v>84274</v>
      </c>
      <c r="D81" s="68">
        <f>'Non Traditonal Enrollment Trend'!$Z$43</f>
        <v>0.90528622530642056</v>
      </c>
      <c r="E81" s="57">
        <f>'Non Traditonal Enrollment Trend'!$Y$65</f>
        <v>4165</v>
      </c>
      <c r="F81" s="79">
        <f>'Non Traditonal Enrollment Trend'!$Z$65</f>
        <v>0.2910958904109589</v>
      </c>
      <c r="G81" s="80">
        <f>'Non Traditonal Enrollment Trend'!$Y$21</f>
        <v>88439</v>
      </c>
      <c r="H81" s="81">
        <f>'Non Traditonal Enrollment Trend'!$Z$21</f>
        <v>0.82346204340822537</v>
      </c>
    </row>
    <row r="82" spans="2:8" x14ac:dyDescent="0.2">
      <c r="B82" s="61" t="s">
        <v>198</v>
      </c>
      <c r="C82" s="62">
        <f>'Non Traditonal Enrollment Trend'!$W$43</f>
        <v>8817</v>
      </c>
      <c r="D82" s="72">
        <f>'Non Traditonal Enrollment Trend'!$X$43</f>
        <v>9.4713774693579403E-2</v>
      </c>
      <c r="E82" s="62">
        <f>'Non Traditonal Enrollment Trend'!$W$65</f>
        <v>10143</v>
      </c>
      <c r="F82" s="82">
        <f>'Non Traditonal Enrollment Trend'!$X$65</f>
        <v>0.70890410958904104</v>
      </c>
      <c r="G82" s="83">
        <f>'Non Traditonal Enrollment Trend'!$W$21</f>
        <v>18960</v>
      </c>
      <c r="H82" s="84">
        <f>'Non Traditonal Enrollment Trend'!$X$21</f>
        <v>0.1765379565917746</v>
      </c>
    </row>
    <row r="83" spans="2:8" x14ac:dyDescent="0.2">
      <c r="B83" s="56" t="str">
        <f>CONCATENATE(IF(RIGHT(Parameters!B1,1) = "1",LEFT(Parameters!B1,4) -3, LEFT(Parameters!B1,4) - 2)," Traditional")</f>
        <v>2016 Traditional</v>
      </c>
      <c r="C83" s="57">
        <f>'Non Traditonal Enrollment Trend'!$AC$43</f>
        <v>81288</v>
      </c>
      <c r="D83" s="68">
        <f>'Non Traditonal Enrollment Trend'!$AD$43</f>
        <v>0.90247801758593127</v>
      </c>
      <c r="E83" s="57">
        <f>'Non Traditonal Enrollment Trend'!$AC$65</f>
        <v>4251</v>
      </c>
      <c r="F83" s="79">
        <f>'Non Traditonal Enrollment Trend'!$AD$65</f>
        <v>0.283835213994792</v>
      </c>
      <c r="G83" s="80">
        <f>'Non Traditonal Enrollment Trend'!$AC$21</f>
        <v>85539</v>
      </c>
      <c r="H83" s="81">
        <f>'Non Traditonal Enrollment Trend'!$AD$21</f>
        <v>0.81427714685527708</v>
      </c>
    </row>
    <row r="84" spans="2:8" x14ac:dyDescent="0.2">
      <c r="B84" s="61" t="s">
        <v>198</v>
      </c>
      <c r="C84" s="62">
        <f>'Non Traditonal Enrollment Trend'!$AA$43</f>
        <v>8784</v>
      </c>
      <c r="D84" s="72">
        <f>'Non Traditonal Enrollment Trend'!$AB$43</f>
        <v>9.7521982414068745E-2</v>
      </c>
      <c r="E84" s="62">
        <f>'Non Traditonal Enrollment Trend'!$AA$65</f>
        <v>10726</v>
      </c>
      <c r="F84" s="82">
        <f>'Non Traditonal Enrollment Trend'!$AB$65</f>
        <v>0.71616478600520794</v>
      </c>
      <c r="G84" s="83">
        <f>'Non Traditonal Enrollment Trend'!$AA$21</f>
        <v>19510</v>
      </c>
      <c r="H84" s="84">
        <f>'Non Traditonal Enrollment Trend'!$AB$21</f>
        <v>0.18572285314472295</v>
      </c>
    </row>
    <row r="85" spans="2:8" x14ac:dyDescent="0.2">
      <c r="B85" s="56" t="str">
        <f>CONCATENATE(IF(RIGHT(Parameters!B1,1) = "1",LEFT(Parameters!B1,4) -2, LEFT(Parameters!B1,4) - 1)," Traditional")</f>
        <v>2017 Traditional</v>
      </c>
      <c r="C85" s="57">
        <f>'Non Traditonal Enrollment Trend'!$AG$43</f>
        <v>78511</v>
      </c>
      <c r="D85" s="68">
        <f>'Non Traditonal Enrollment Trend'!$AH$43</f>
        <v>0.89992205589051144</v>
      </c>
      <c r="E85" s="57">
        <f>'Non Traditonal Enrollment Trend'!$AG$65</f>
        <v>4246</v>
      </c>
      <c r="F85" s="79">
        <f>'Non Traditonal Enrollment Trend'!$AH$65</f>
        <v>0.27697325505544684</v>
      </c>
      <c r="G85" s="80">
        <f>'Non Traditonal Enrollment Trend'!$AG$21</f>
        <v>82757</v>
      </c>
      <c r="H85" s="81">
        <f>'Non Traditonal Enrollment Trend'!$AH$21</f>
        <v>0.80681862496587764</v>
      </c>
    </row>
    <row r="86" spans="2:8" x14ac:dyDescent="0.2">
      <c r="B86" s="61" t="s">
        <v>198</v>
      </c>
      <c r="C86" s="62">
        <f>'Non Traditonal Enrollment Trend'!$AE$43</f>
        <v>8731</v>
      </c>
      <c r="D86" s="72">
        <f>'Non Traditonal Enrollment Trend'!$AF$43</f>
        <v>0.10007794410948855</v>
      </c>
      <c r="E86" s="62">
        <f>'Non Traditonal Enrollment Trend'!$AE$65</f>
        <v>11084</v>
      </c>
      <c r="F86" s="82">
        <f>'Non Traditonal Enrollment Trend'!$AF$65</f>
        <v>0.72302674494455321</v>
      </c>
      <c r="G86" s="83">
        <f>'Non Traditonal Enrollment Trend'!$AE$21</f>
        <v>19815</v>
      </c>
      <c r="H86" s="84">
        <f>'Non Traditonal Enrollment Trend'!$AF$21</f>
        <v>0.19318137503412236</v>
      </c>
    </row>
    <row r="87" spans="2:8" x14ac:dyDescent="0.2">
      <c r="B87" s="56" t="str">
        <f>CONCATENATE(IF(RIGHT(Parameters!B1,1) = "1",LEFT(Parameters!B1,4) -1, LEFT(Parameters!B1,4) )," Traditional")</f>
        <v>2018 Traditional</v>
      </c>
      <c r="C87" s="57">
        <f>'Non Traditonal Enrollment Trend'!$AK$43</f>
        <v>74945</v>
      </c>
      <c r="D87" s="68">
        <f>'Non Traditonal Enrollment Trend'!$AL$43</f>
        <v>0.90214748296699332</v>
      </c>
      <c r="E87" s="57">
        <f>'Non Traditonal Enrollment Trend'!$AK$65</f>
        <v>4297</v>
      </c>
      <c r="F87" s="79">
        <f>'Non Traditonal Enrollment Trend'!$AL$65</f>
        <v>0.28105173654261234</v>
      </c>
      <c r="G87" s="80">
        <f>'Non Traditonal Enrollment Trend'!$AK$21</f>
        <v>79242</v>
      </c>
      <c r="H87" s="81">
        <f>'Non Traditonal Enrollment Trend'!$AL$21</f>
        <v>0.80560779968077423</v>
      </c>
    </row>
    <row r="88" spans="2:8" x14ac:dyDescent="0.2">
      <c r="B88" s="61" t="s">
        <v>198</v>
      </c>
      <c r="C88" s="62">
        <f>'Non Traditonal Enrollment Trend'!$AI$43</f>
        <v>8129</v>
      </c>
      <c r="D88" s="72">
        <f>'Non Traditonal Enrollment Trend'!$AJ$43</f>
        <v>9.7852517033006722E-2</v>
      </c>
      <c r="E88" s="62">
        <f>'Non Traditonal Enrollment Trend'!$AI$65</f>
        <v>10992</v>
      </c>
      <c r="F88" s="82">
        <f>'Non Traditonal Enrollment Trend'!$AJ$65</f>
        <v>0.71894826345738772</v>
      </c>
      <c r="G88" s="83">
        <f>'Non Traditonal Enrollment Trend'!$AI$21</f>
        <v>19121</v>
      </c>
      <c r="H88" s="84">
        <f>'Non Traditonal Enrollment Trend'!$AJ$21</f>
        <v>0.19439220031922572</v>
      </c>
    </row>
    <row r="89" spans="2:8" x14ac:dyDescent="0.2">
      <c r="B89" s="85" t="str">
        <f>CONCATENATE(IF(RIGHT(Parameters!B1,1) = "1",LEFT(Parameters!B1,4), LEFT(Parameters!B1,4) +1)," Traditional")</f>
        <v>2019 Traditional</v>
      </c>
      <c r="C89" s="86">
        <f>'Non Traditonal Enrollment Trend'!$AO$43</f>
        <v>72671</v>
      </c>
      <c r="D89" s="87">
        <f>'Non Traditonal Enrollment Trend'!$AP$43</f>
        <v>0.90357595802352475</v>
      </c>
      <c r="E89" s="86">
        <f>'Non Traditonal Enrollment Trend'!$AO$65</f>
        <v>4362</v>
      </c>
      <c r="F89" s="88">
        <f>'Non Traditonal Enrollment Trend'!$AP$65</f>
        <v>0.28368886576482832</v>
      </c>
      <c r="G89" s="89">
        <f>'Non Traditonal Enrollment Trend'!$AO$21</f>
        <v>77033</v>
      </c>
      <c r="H89" s="90">
        <f>'Non Traditonal Enrollment Trend'!$AP$21</f>
        <v>0.80408550969708359</v>
      </c>
    </row>
    <row r="90" spans="2:8" x14ac:dyDescent="0.2">
      <c r="B90" s="61" t="s">
        <v>198</v>
      </c>
      <c r="C90" s="62">
        <f>'Non Traditonal Enrollment Trend'!$AM$43</f>
        <v>7755</v>
      </c>
      <c r="D90" s="72">
        <f>'Non Traditonal Enrollment Trend'!$AN$43</f>
        <v>9.6424041976475264E-2</v>
      </c>
      <c r="E90" s="62">
        <f>'Non Traditonal Enrollment Trend'!$AM$65</f>
        <v>11014</v>
      </c>
      <c r="F90" s="82">
        <f>'Non Traditonal Enrollment Trend'!$AN$65</f>
        <v>0.71631113423517168</v>
      </c>
      <c r="G90" s="83">
        <f>'Non Traditonal Enrollment Trend'!$AM$21</f>
        <v>18769</v>
      </c>
      <c r="H90" s="84">
        <f>'Non Traditonal Enrollment Trend'!$AN$21</f>
        <v>0.19591449030291644</v>
      </c>
    </row>
    <row r="92" spans="2:8" x14ac:dyDescent="0.2">
      <c r="B92" s="16" t="s">
        <v>199</v>
      </c>
      <c r="C92" s="3"/>
      <c r="D92" s="3"/>
      <c r="E92" s="2"/>
      <c r="F92" s="3"/>
      <c r="G92" s="2"/>
      <c r="H92" s="3"/>
    </row>
    <row r="93" spans="2:8" x14ac:dyDescent="0.2">
      <c r="B93" s="16" t="s">
        <v>29</v>
      </c>
      <c r="C93" s="2"/>
      <c r="D93" s="3"/>
      <c r="E93" s="2"/>
      <c r="F93" s="2"/>
      <c r="G93" s="1"/>
      <c r="H93" s="3"/>
    </row>
    <row r="94" spans="2:8" x14ac:dyDescent="0.2">
      <c r="B94" s="7" t="s">
        <v>30</v>
      </c>
      <c r="C94" s="3"/>
      <c r="D94" s="3"/>
      <c r="E94" s="3"/>
      <c r="F94" s="3"/>
      <c r="G94" s="3"/>
      <c r="H94" s="3"/>
    </row>
    <row r="95" spans="2:8" x14ac:dyDescent="0.2">
      <c r="B95" s="9" t="s">
        <v>31</v>
      </c>
      <c r="C95" s="60"/>
      <c r="D95" s="60"/>
      <c r="E95" s="60"/>
      <c r="F95" s="60"/>
      <c r="G95" s="60"/>
      <c r="H95" s="60"/>
    </row>
    <row r="97" spans="2:42" ht="15" x14ac:dyDescent="0.2">
      <c r="B97" s="131" t="s">
        <v>200</v>
      </c>
      <c r="C97" s="131"/>
      <c r="D97" s="131"/>
      <c r="E97" s="131"/>
      <c r="F97" s="131"/>
      <c r="G97" s="131"/>
      <c r="H97" s="131"/>
      <c r="I97" s="131"/>
      <c r="J97" s="131"/>
      <c r="K97" s="131"/>
      <c r="L97" s="131"/>
      <c r="M97" s="131"/>
      <c r="N97" s="131"/>
      <c r="O97" s="131"/>
      <c r="P97" s="131"/>
      <c r="Q97" s="131"/>
      <c r="R97" s="131"/>
      <c r="S97" s="131"/>
      <c r="T97" s="131"/>
      <c r="U97" s="131"/>
      <c r="V97" s="131"/>
      <c r="W97" s="131"/>
      <c r="X97" s="131"/>
      <c r="Y97" s="131"/>
      <c r="Z97" s="131"/>
      <c r="AA97" s="131"/>
      <c r="AB97" s="131"/>
      <c r="AC97" s="131"/>
      <c r="AD97" s="131"/>
      <c r="AE97" s="131"/>
      <c r="AF97" s="131"/>
      <c r="AG97" s="131"/>
      <c r="AH97" s="131"/>
      <c r="AI97" s="131"/>
      <c r="AJ97" s="131"/>
      <c r="AK97" s="131"/>
      <c r="AL97" s="131"/>
      <c r="AM97" s="131"/>
      <c r="AN97" s="131"/>
      <c r="AO97" s="131"/>
      <c r="AP97" s="131"/>
    </row>
    <row r="98" spans="2:42" x14ac:dyDescent="0.2">
      <c r="B98" s="134" t="s">
        <v>1</v>
      </c>
      <c r="C98" s="133" t="str">
        <f>CONCATENATE(IF(RIGHT(Parameters!B1,1) = "1","Fall ", "Spring "),IF(RIGHT(Parameters!B1,1) = "1",LEFT(Parameters!B1,4) -9, LEFT(Parameters!B1,4) - 8))</f>
        <v>Fall 2010</v>
      </c>
      <c r="D98" s="133"/>
      <c r="E98" s="133"/>
      <c r="F98" s="133"/>
      <c r="G98" s="133" t="str">
        <f>CONCATENATE(IF(RIGHT(Parameters!B1,1) = "1","Fall ", "Spring "),IF(RIGHT(Parameters!B1,1) = "1",LEFT(Parameters!B1,4) -8, LEFT(Parameters!B1,4) - 7))</f>
        <v>Fall 2011</v>
      </c>
      <c r="H98" s="133"/>
      <c r="I98" s="133"/>
      <c r="J98" s="133"/>
      <c r="K98" s="133" t="str">
        <f>CONCATENATE(IF(RIGHT(Parameters!B1,1) = "1","Fall ", "Spring "),IF(RIGHT(Parameters!B1,1) = "1",LEFT(Parameters!B1,4) -7, LEFT(Parameters!B1,4) - 6))</f>
        <v>Fall 2012</v>
      </c>
      <c r="L98" s="133"/>
      <c r="M98" s="133"/>
      <c r="N98" s="133"/>
      <c r="O98" s="133" t="str">
        <f>CONCATENATE(IF(RIGHT(Parameters!B1,1) = "1","Fall ", "Spring "),IF(RIGHT(Parameters!B1,1) = "1",LEFT(Parameters!B1,4) -6, LEFT(Parameters!B1,4) - 5))</f>
        <v>Fall 2013</v>
      </c>
      <c r="P98" s="133"/>
      <c r="Q98" s="133"/>
      <c r="R98" s="133"/>
      <c r="S98" s="133" t="str">
        <f>CONCATENATE(IF(RIGHT(Parameters!B1,1) = "1","Fall ", "Spring "),IF(RIGHT(Parameters!B1,1) = "1",LEFT(Parameters!B1,4) -5, LEFT(Parameters!B1,4) - 4))</f>
        <v>Fall 2014</v>
      </c>
      <c r="T98" s="133"/>
      <c r="U98" s="133"/>
      <c r="V98" s="133"/>
      <c r="W98" s="133" t="str">
        <f>CONCATENATE(IF(RIGHT(Parameters!B1,1) = "1","Fall ", "Spring "),IF(RIGHT(Parameters!B1,1) = "1",LEFT(Parameters!B1,4) -4, LEFT(Parameters!B1,4) - 3))</f>
        <v>Fall 2015</v>
      </c>
      <c r="X98" s="133"/>
      <c r="Y98" s="133"/>
      <c r="Z98" s="133"/>
      <c r="AA98" s="133" t="str">
        <f>CONCATENATE(IF(RIGHT(Parameters!B1,1) = "1","Fall ", "Spring "),IF(RIGHT(Parameters!B1,1) = "1",LEFT(Parameters!B1,4) -3, LEFT(Parameters!B1,4) -2 ))</f>
        <v>Fall 2016</v>
      </c>
      <c r="AB98" s="133"/>
      <c r="AC98" s="133"/>
      <c r="AD98" s="133"/>
      <c r="AE98" s="133" t="str">
        <f>CONCATENATE(IF(RIGHT(Parameters!B1,1) = "1","Fall ", "Spring "),IF(RIGHT(Parameters!B1,1) = "1",LEFT(Parameters!B1,4) -2, LEFT(Parameters!B1,4) -1 ))</f>
        <v>Fall 2017</v>
      </c>
      <c r="AF98" s="133"/>
      <c r="AG98" s="133"/>
      <c r="AH98" s="133"/>
      <c r="AI98" s="133" t="str">
        <f>CONCATENATE(IF(RIGHT(Parameters!B1,1) = "1","Fall ", "Spring "),IF(RIGHT(Parameters!B1,1) = "1",LEFT(Parameters!B1,4) -1, LEFT(Parameters!B1,4)  ))</f>
        <v>Fall 2018</v>
      </c>
      <c r="AJ98" s="133"/>
      <c r="AK98" s="133"/>
      <c r="AL98" s="133"/>
      <c r="AM98" s="133" t="str">
        <f>CONCATENATE(IF(RIGHT(Parameters!B1,1) = "1","Fall ", "Spring "),IF(RIGHT(Parameters!B1,1) = "1",LEFT(Parameters!B1,4), LEFT(Parameters!B1,4) + 1))</f>
        <v>Fall 2019</v>
      </c>
      <c r="AN98" s="133"/>
      <c r="AO98" s="133"/>
      <c r="AP98" s="133"/>
    </row>
    <row r="99" spans="2:42" x14ac:dyDescent="0.2">
      <c r="B99" s="136"/>
      <c r="C99" s="133" t="s">
        <v>159</v>
      </c>
      <c r="D99" s="133"/>
      <c r="E99" s="133" t="s">
        <v>160</v>
      </c>
      <c r="F99" s="133"/>
      <c r="G99" s="133" t="s">
        <v>159</v>
      </c>
      <c r="H99" s="133"/>
      <c r="I99" s="133" t="s">
        <v>160</v>
      </c>
      <c r="J99" s="133"/>
      <c r="K99" s="133" t="s">
        <v>159</v>
      </c>
      <c r="L99" s="133"/>
      <c r="M99" s="133" t="s">
        <v>160</v>
      </c>
      <c r="N99" s="133"/>
      <c r="O99" s="133" t="s">
        <v>159</v>
      </c>
      <c r="P99" s="133"/>
      <c r="Q99" s="133" t="s">
        <v>160</v>
      </c>
      <c r="R99" s="133"/>
      <c r="S99" s="133" t="s">
        <v>159</v>
      </c>
      <c r="T99" s="133"/>
      <c r="U99" s="133" t="s">
        <v>160</v>
      </c>
      <c r="V99" s="133"/>
      <c r="W99" s="133" t="s">
        <v>159</v>
      </c>
      <c r="X99" s="133"/>
      <c r="Y99" s="133" t="s">
        <v>160</v>
      </c>
      <c r="Z99" s="133"/>
      <c r="AA99" s="133" t="s">
        <v>159</v>
      </c>
      <c r="AB99" s="133"/>
      <c r="AC99" s="133" t="s">
        <v>160</v>
      </c>
      <c r="AD99" s="133"/>
      <c r="AE99" s="133" t="s">
        <v>159</v>
      </c>
      <c r="AF99" s="133"/>
      <c r="AG99" s="133" t="s">
        <v>160</v>
      </c>
      <c r="AH99" s="133"/>
      <c r="AI99" s="133" t="s">
        <v>159</v>
      </c>
      <c r="AJ99" s="133"/>
      <c r="AK99" s="133" t="s">
        <v>160</v>
      </c>
      <c r="AL99" s="133"/>
      <c r="AM99" s="133" t="s">
        <v>159</v>
      </c>
      <c r="AN99" s="133"/>
      <c r="AO99" s="133" t="s">
        <v>160</v>
      </c>
      <c r="AP99" s="133"/>
    </row>
    <row r="100" spans="2:42" x14ac:dyDescent="0.2">
      <c r="B100" s="135"/>
      <c r="C100" s="52" t="s">
        <v>161</v>
      </c>
      <c r="D100" s="52" t="s">
        <v>162</v>
      </c>
      <c r="E100" s="52" t="s">
        <v>161</v>
      </c>
      <c r="F100" s="52" t="s">
        <v>162</v>
      </c>
      <c r="G100" s="52" t="s">
        <v>161</v>
      </c>
      <c r="H100" s="52" t="s">
        <v>162</v>
      </c>
      <c r="I100" s="52" t="s">
        <v>161</v>
      </c>
      <c r="J100" s="52" t="s">
        <v>162</v>
      </c>
      <c r="K100" s="52" t="s">
        <v>161</v>
      </c>
      <c r="L100" s="52" t="s">
        <v>162</v>
      </c>
      <c r="M100" s="52" t="s">
        <v>161</v>
      </c>
      <c r="N100" s="52" t="s">
        <v>162</v>
      </c>
      <c r="O100" s="52" t="s">
        <v>161</v>
      </c>
      <c r="P100" s="52" t="s">
        <v>162</v>
      </c>
      <c r="Q100" s="52" t="s">
        <v>161</v>
      </c>
      <c r="R100" s="52" t="s">
        <v>162</v>
      </c>
      <c r="S100" s="52" t="s">
        <v>161</v>
      </c>
      <c r="T100" s="52" t="s">
        <v>162</v>
      </c>
      <c r="U100" s="52" t="s">
        <v>161</v>
      </c>
      <c r="V100" s="52" t="s">
        <v>162</v>
      </c>
      <c r="W100" s="52" t="s">
        <v>161</v>
      </c>
      <c r="X100" s="52" t="s">
        <v>162</v>
      </c>
      <c r="Y100" s="52" t="s">
        <v>161</v>
      </c>
      <c r="Z100" s="52" t="s">
        <v>162</v>
      </c>
      <c r="AA100" s="52" t="s">
        <v>161</v>
      </c>
      <c r="AB100" s="52" t="s">
        <v>162</v>
      </c>
      <c r="AC100" s="52" t="s">
        <v>161</v>
      </c>
      <c r="AD100" s="52" t="s">
        <v>162</v>
      </c>
      <c r="AE100" s="52" t="s">
        <v>161</v>
      </c>
      <c r="AF100" s="52" t="s">
        <v>162</v>
      </c>
      <c r="AG100" s="52" t="s">
        <v>161</v>
      </c>
      <c r="AH100" s="52" t="s">
        <v>162</v>
      </c>
      <c r="AI100" s="52" t="s">
        <v>161</v>
      </c>
      <c r="AJ100" s="52" t="s">
        <v>162</v>
      </c>
      <c r="AK100" s="52" t="s">
        <v>161</v>
      </c>
      <c r="AL100" s="52" t="s">
        <v>162</v>
      </c>
      <c r="AM100" s="52" t="s">
        <v>161</v>
      </c>
      <c r="AN100" s="52" t="s">
        <v>162</v>
      </c>
      <c r="AO100" s="52" t="s">
        <v>161</v>
      </c>
      <c r="AP100" s="52" t="s">
        <v>162</v>
      </c>
    </row>
    <row r="101" spans="2:42" ht="15.75" hidden="1" customHeight="1" thickBot="1" x14ac:dyDescent="0.25">
      <c r="B101" s="26" t="s">
        <v>2</v>
      </c>
      <c r="C101" s="26" t="s">
        <v>163</v>
      </c>
      <c r="D101" s="26" t="s">
        <v>164</v>
      </c>
      <c r="E101" s="26" t="s">
        <v>165</v>
      </c>
      <c r="F101" s="26" t="s">
        <v>139</v>
      </c>
      <c r="G101" s="26" t="s">
        <v>166</v>
      </c>
      <c r="H101" s="26" t="s">
        <v>167</v>
      </c>
      <c r="I101" s="26" t="s">
        <v>168</v>
      </c>
      <c r="J101" s="26" t="s">
        <v>140</v>
      </c>
      <c r="K101" s="26" t="s">
        <v>169</v>
      </c>
      <c r="L101" s="26" t="s">
        <v>170</v>
      </c>
      <c r="M101" s="26" t="s">
        <v>171</v>
      </c>
      <c r="N101" s="26" t="s">
        <v>141</v>
      </c>
      <c r="O101" s="26" t="s">
        <v>172</v>
      </c>
      <c r="P101" s="26" t="s">
        <v>173</v>
      </c>
      <c r="Q101" s="26" t="s">
        <v>174</v>
      </c>
      <c r="R101" s="26" t="s">
        <v>142</v>
      </c>
      <c r="S101" s="26" t="s">
        <v>175</v>
      </c>
      <c r="T101" s="26" t="s">
        <v>176</v>
      </c>
      <c r="U101" s="26" t="s">
        <v>177</v>
      </c>
      <c r="V101" s="26" t="s">
        <v>143</v>
      </c>
      <c r="W101" s="26" t="s">
        <v>178</v>
      </c>
      <c r="X101" s="26" t="s">
        <v>179</v>
      </c>
      <c r="Y101" s="26" t="s">
        <v>180</v>
      </c>
      <c r="Z101" s="26" t="s">
        <v>144</v>
      </c>
      <c r="AA101" s="26" t="s">
        <v>181</v>
      </c>
      <c r="AB101" s="26" t="s">
        <v>182</v>
      </c>
      <c r="AC101" s="26" t="s">
        <v>183</v>
      </c>
      <c r="AD101" s="26" t="s">
        <v>145</v>
      </c>
      <c r="AE101" s="26" t="s">
        <v>184</v>
      </c>
      <c r="AF101" s="26" t="s">
        <v>185</v>
      </c>
      <c r="AG101" s="26" t="s">
        <v>186</v>
      </c>
      <c r="AH101" s="26" t="s">
        <v>146</v>
      </c>
      <c r="AI101" s="26" t="s">
        <v>187</v>
      </c>
      <c r="AJ101" s="26" t="s">
        <v>188</v>
      </c>
      <c r="AK101" s="26" t="s">
        <v>189</v>
      </c>
      <c r="AL101" s="26" t="s">
        <v>148</v>
      </c>
      <c r="AM101" s="26" t="s">
        <v>190</v>
      </c>
      <c r="AN101" s="26" t="s">
        <v>191</v>
      </c>
      <c r="AO101" s="26" t="s">
        <v>192</v>
      </c>
      <c r="AP101" s="26" t="s">
        <v>149</v>
      </c>
    </row>
    <row r="102" spans="2:42" x14ac:dyDescent="0.2">
      <c r="B102" s="56" t="s">
        <v>13</v>
      </c>
      <c r="C102" s="57">
        <v>10</v>
      </c>
      <c r="D102" s="68">
        <v>4.6810000000000003E-3</v>
      </c>
      <c r="E102" s="57">
        <v>2126</v>
      </c>
      <c r="F102" s="68">
        <v>0.99531800000000004</v>
      </c>
      <c r="G102" s="57">
        <v>11</v>
      </c>
      <c r="H102" s="68">
        <v>5.5799999999999999E-3</v>
      </c>
      <c r="I102" s="57">
        <v>1960</v>
      </c>
      <c r="J102" s="68">
        <v>0.99441900000000005</v>
      </c>
      <c r="K102" s="57">
        <v>4</v>
      </c>
      <c r="L102" s="68">
        <v>2.0939999999999999E-3</v>
      </c>
      <c r="M102" s="57">
        <v>1906</v>
      </c>
      <c r="N102" s="68">
        <v>0.99790500000000004</v>
      </c>
      <c r="O102" s="57">
        <v>5</v>
      </c>
      <c r="P102" s="68">
        <v>2.264E-3</v>
      </c>
      <c r="Q102" s="57">
        <v>2203</v>
      </c>
      <c r="R102" s="68">
        <v>0.99773500000000004</v>
      </c>
      <c r="S102" s="57">
        <v>4</v>
      </c>
      <c r="T102" s="68">
        <v>1.8500000000000001E-3</v>
      </c>
      <c r="U102" s="57">
        <v>2158</v>
      </c>
      <c r="V102" s="68">
        <v>0.99814899999999995</v>
      </c>
      <c r="W102" s="57">
        <v>5</v>
      </c>
      <c r="X102" s="68">
        <v>2.3770000000000002E-3</v>
      </c>
      <c r="Y102" s="57">
        <v>2098</v>
      </c>
      <c r="Z102" s="68">
        <v>0.99762200000000001</v>
      </c>
      <c r="AA102" s="57">
        <v>7</v>
      </c>
      <c r="AB102" s="68">
        <v>3.6930000000000001E-3</v>
      </c>
      <c r="AC102" s="57">
        <v>1888</v>
      </c>
      <c r="AD102" s="68">
        <v>0.99630600000000002</v>
      </c>
      <c r="AE102" s="57">
        <v>11</v>
      </c>
      <c r="AF102" s="68">
        <v>5.9389999999999998E-3</v>
      </c>
      <c r="AG102" s="57">
        <v>1841</v>
      </c>
      <c r="AH102" s="68">
        <v>0.99406000000000005</v>
      </c>
      <c r="AI102" s="57">
        <v>3</v>
      </c>
      <c r="AJ102" s="68">
        <v>1.627E-3</v>
      </c>
      <c r="AK102" s="57">
        <v>1840</v>
      </c>
      <c r="AL102" s="68">
        <v>0.99837200000000004</v>
      </c>
      <c r="AM102" s="57">
        <v>3</v>
      </c>
      <c r="AN102" s="68">
        <v>1.5169999999999999E-3</v>
      </c>
      <c r="AO102" s="57">
        <v>1974</v>
      </c>
      <c r="AP102" s="68">
        <v>0.99848199999999998</v>
      </c>
    </row>
    <row r="103" spans="2:42" x14ac:dyDescent="0.2">
      <c r="B103" s="58" t="s">
        <v>14</v>
      </c>
      <c r="C103" s="59">
        <v>29</v>
      </c>
      <c r="D103" s="70">
        <v>3.2620000000000003E-2</v>
      </c>
      <c r="E103" s="59">
        <v>860</v>
      </c>
      <c r="F103" s="70">
        <v>0.96737899999999999</v>
      </c>
      <c r="G103" s="59">
        <v>27</v>
      </c>
      <c r="H103" s="70">
        <v>3.2218999999999998E-2</v>
      </c>
      <c r="I103" s="59">
        <v>811</v>
      </c>
      <c r="J103" s="70">
        <v>0.96777999999999997</v>
      </c>
      <c r="K103" s="59">
        <v>19</v>
      </c>
      <c r="L103" s="70">
        <v>3.0447999999999999E-2</v>
      </c>
      <c r="M103" s="59">
        <v>605</v>
      </c>
      <c r="N103" s="70">
        <v>0.96955100000000005</v>
      </c>
      <c r="O103" s="59">
        <v>2</v>
      </c>
      <c r="P103" s="70">
        <v>1.9430000000000001E-3</v>
      </c>
      <c r="Q103" s="59">
        <v>1027</v>
      </c>
      <c r="R103" s="70">
        <v>0.99805600000000005</v>
      </c>
      <c r="S103" s="59">
        <v>15</v>
      </c>
      <c r="T103" s="70">
        <v>1.5212E-2</v>
      </c>
      <c r="U103" s="59">
        <v>971</v>
      </c>
      <c r="V103" s="70">
        <v>0.98478699999999997</v>
      </c>
      <c r="W103" s="59">
        <v>13</v>
      </c>
      <c r="X103" s="70">
        <v>1.4772E-2</v>
      </c>
      <c r="Y103" s="59">
        <v>867</v>
      </c>
      <c r="Z103" s="70">
        <v>0.98522699999999996</v>
      </c>
      <c r="AA103" s="59">
        <v>6</v>
      </c>
      <c r="AB103" s="70">
        <v>7.0829999999999999E-3</v>
      </c>
      <c r="AC103" s="59">
        <v>841</v>
      </c>
      <c r="AD103" s="70">
        <v>0.99291600000000002</v>
      </c>
      <c r="AE103" s="59">
        <v>9</v>
      </c>
      <c r="AF103" s="70">
        <v>9.8250000000000004E-3</v>
      </c>
      <c r="AG103" s="59">
        <v>907</v>
      </c>
      <c r="AH103" s="70">
        <v>0.990174</v>
      </c>
      <c r="AI103" s="59">
        <v>17</v>
      </c>
      <c r="AJ103" s="70">
        <v>1.864E-2</v>
      </c>
      <c r="AK103" s="59">
        <v>895</v>
      </c>
      <c r="AL103" s="70">
        <v>0.98135899999999998</v>
      </c>
      <c r="AM103" s="59">
        <v>9</v>
      </c>
      <c r="AN103" s="70">
        <v>1.0238000000000001E-2</v>
      </c>
      <c r="AO103" s="59">
        <v>870</v>
      </c>
      <c r="AP103" s="70">
        <v>0.989761</v>
      </c>
    </row>
    <row r="104" spans="2:42" x14ac:dyDescent="0.2">
      <c r="B104" s="58" t="s">
        <v>15</v>
      </c>
      <c r="C104" s="59">
        <v>2</v>
      </c>
      <c r="D104" s="70">
        <v>4.2370000000000003E-3</v>
      </c>
      <c r="E104" s="59">
        <v>470</v>
      </c>
      <c r="F104" s="70">
        <v>0.99576200000000004</v>
      </c>
      <c r="G104" s="59">
        <v>2</v>
      </c>
      <c r="H104" s="70">
        <v>9.8519999999999996E-3</v>
      </c>
      <c r="I104" s="59">
        <v>201</v>
      </c>
      <c r="J104" s="70">
        <v>0.990147</v>
      </c>
      <c r="K104" s="59">
        <v>2</v>
      </c>
      <c r="L104" s="70">
        <v>6.3489999999999996E-3</v>
      </c>
      <c r="M104" s="59">
        <v>313</v>
      </c>
      <c r="N104" s="70">
        <v>0.99365000000000003</v>
      </c>
      <c r="O104" s="59">
        <v>0</v>
      </c>
      <c r="P104" s="70">
        <v>0</v>
      </c>
      <c r="Q104" s="59">
        <v>344</v>
      </c>
      <c r="R104" s="70">
        <v>0.99999899999999997</v>
      </c>
      <c r="S104" s="59">
        <v>1</v>
      </c>
      <c r="T104" s="70">
        <v>4.3660000000000001E-3</v>
      </c>
      <c r="U104" s="59">
        <v>228</v>
      </c>
      <c r="V104" s="70">
        <v>0.99563299999999999</v>
      </c>
      <c r="W104" s="59">
        <v>3</v>
      </c>
      <c r="X104" s="70">
        <v>2.9999000000000001E-2</v>
      </c>
      <c r="Y104" s="59">
        <v>97</v>
      </c>
      <c r="Z104" s="70">
        <v>0.96999899999999994</v>
      </c>
      <c r="AA104" s="59">
        <v>0</v>
      </c>
      <c r="AB104" s="70">
        <v>0</v>
      </c>
      <c r="AC104" s="59">
        <v>181</v>
      </c>
      <c r="AD104" s="70">
        <v>0.99999899999999997</v>
      </c>
      <c r="AE104" s="59">
        <v>4</v>
      </c>
      <c r="AF104" s="70">
        <v>2.0202000000000001E-2</v>
      </c>
      <c r="AG104" s="59">
        <v>194</v>
      </c>
      <c r="AH104" s="70">
        <v>0.97979700000000003</v>
      </c>
      <c r="AI104" s="59">
        <v>1</v>
      </c>
      <c r="AJ104" s="70">
        <v>9.8029999999999992E-3</v>
      </c>
      <c r="AK104" s="59">
        <v>101</v>
      </c>
      <c r="AL104" s="70">
        <v>0.99019599999999997</v>
      </c>
      <c r="AM104" s="59">
        <v>2</v>
      </c>
      <c r="AN104" s="70">
        <v>9.3889999999999998E-3</v>
      </c>
      <c r="AO104" s="59">
        <v>211</v>
      </c>
      <c r="AP104" s="70">
        <v>0.99060999999999999</v>
      </c>
    </row>
    <row r="105" spans="2:42" x14ac:dyDescent="0.2">
      <c r="B105" s="58" t="s">
        <v>16</v>
      </c>
      <c r="C105" s="59">
        <v>19</v>
      </c>
      <c r="D105" s="70">
        <v>1.5663E-2</v>
      </c>
      <c r="E105" s="59">
        <v>1194</v>
      </c>
      <c r="F105" s="70">
        <v>0.98433599999999999</v>
      </c>
      <c r="G105" s="59">
        <v>17</v>
      </c>
      <c r="H105" s="70">
        <v>1.5525000000000001E-2</v>
      </c>
      <c r="I105" s="59">
        <v>1078</v>
      </c>
      <c r="J105" s="70">
        <v>0.98447399999999996</v>
      </c>
      <c r="K105" s="59">
        <v>8</v>
      </c>
      <c r="L105" s="70">
        <v>8.5100000000000002E-3</v>
      </c>
      <c r="M105" s="59">
        <v>932</v>
      </c>
      <c r="N105" s="70">
        <v>0.99148899999999995</v>
      </c>
      <c r="O105" s="59">
        <v>8</v>
      </c>
      <c r="P105" s="70">
        <v>9.4450000000000003E-3</v>
      </c>
      <c r="Q105" s="59">
        <v>839</v>
      </c>
      <c r="R105" s="70">
        <v>0.99055400000000005</v>
      </c>
      <c r="S105" s="59">
        <v>12</v>
      </c>
      <c r="T105" s="70">
        <v>1.7291000000000001E-2</v>
      </c>
      <c r="U105" s="59">
        <v>682</v>
      </c>
      <c r="V105" s="70">
        <v>0.98270800000000003</v>
      </c>
      <c r="W105" s="59">
        <v>9</v>
      </c>
      <c r="X105" s="70">
        <v>1.1507999999999999E-2</v>
      </c>
      <c r="Y105" s="59">
        <v>773</v>
      </c>
      <c r="Z105" s="70">
        <v>0.98849100000000001</v>
      </c>
      <c r="AA105" s="59">
        <v>17</v>
      </c>
      <c r="AB105" s="70">
        <v>2.0656000000000001E-2</v>
      </c>
      <c r="AC105" s="59">
        <v>806</v>
      </c>
      <c r="AD105" s="70">
        <v>0.97934299999999996</v>
      </c>
      <c r="AE105" s="59">
        <v>10</v>
      </c>
      <c r="AF105" s="70">
        <v>1.3457999999999999E-2</v>
      </c>
      <c r="AG105" s="59">
        <v>733</v>
      </c>
      <c r="AH105" s="70">
        <v>0.986541</v>
      </c>
      <c r="AI105" s="59">
        <v>7</v>
      </c>
      <c r="AJ105" s="70">
        <v>1.0670000000000001E-2</v>
      </c>
      <c r="AK105" s="59">
        <v>649</v>
      </c>
      <c r="AL105" s="70">
        <v>0.98932900000000001</v>
      </c>
      <c r="AM105" s="59">
        <v>10</v>
      </c>
      <c r="AN105" s="70">
        <v>1.3908E-2</v>
      </c>
      <c r="AO105" s="59">
        <v>709</v>
      </c>
      <c r="AP105" s="70">
        <v>0.98609100000000005</v>
      </c>
    </row>
    <row r="106" spans="2:42" x14ac:dyDescent="0.2">
      <c r="B106" s="58" t="s">
        <v>17</v>
      </c>
      <c r="C106" s="59">
        <v>2</v>
      </c>
      <c r="D106" s="70">
        <v>1.755E-3</v>
      </c>
      <c r="E106" s="59">
        <v>1137</v>
      </c>
      <c r="F106" s="70">
        <v>0.99824400000000002</v>
      </c>
      <c r="G106" s="59">
        <v>5</v>
      </c>
      <c r="H106" s="70">
        <v>3.6440000000000001E-3</v>
      </c>
      <c r="I106" s="59">
        <v>1367</v>
      </c>
      <c r="J106" s="70">
        <v>0.99635499999999999</v>
      </c>
      <c r="K106" s="59">
        <v>0</v>
      </c>
      <c r="L106" s="70">
        <v>0</v>
      </c>
      <c r="M106" s="59">
        <v>1227</v>
      </c>
      <c r="N106" s="70">
        <v>0.99999899999999997</v>
      </c>
      <c r="O106" s="59">
        <v>3</v>
      </c>
      <c r="P106" s="70">
        <v>2.624E-3</v>
      </c>
      <c r="Q106" s="59">
        <v>1140</v>
      </c>
      <c r="R106" s="70">
        <v>0.99737500000000001</v>
      </c>
      <c r="S106" s="59">
        <v>4</v>
      </c>
      <c r="T106" s="70">
        <v>3.1670000000000001E-3</v>
      </c>
      <c r="U106" s="59">
        <v>1259</v>
      </c>
      <c r="V106" s="70">
        <v>0.99683200000000005</v>
      </c>
      <c r="W106" s="59">
        <v>6</v>
      </c>
      <c r="X106" s="70">
        <v>4.7239999999999999E-3</v>
      </c>
      <c r="Y106" s="59">
        <v>1264</v>
      </c>
      <c r="Z106" s="70">
        <v>0.99527500000000002</v>
      </c>
      <c r="AA106" s="59">
        <v>2</v>
      </c>
      <c r="AB106" s="70">
        <v>1.539E-3</v>
      </c>
      <c r="AC106" s="59">
        <v>1297</v>
      </c>
      <c r="AD106" s="70">
        <v>0.99846000000000001</v>
      </c>
      <c r="AE106" s="59">
        <v>6</v>
      </c>
      <c r="AF106" s="70">
        <v>4.6870000000000002E-3</v>
      </c>
      <c r="AG106" s="59">
        <v>1274</v>
      </c>
      <c r="AH106" s="70">
        <v>0.99531199999999997</v>
      </c>
      <c r="AI106" s="59">
        <v>8</v>
      </c>
      <c r="AJ106" s="70">
        <v>7.0540000000000004E-3</v>
      </c>
      <c r="AK106" s="59">
        <v>1126</v>
      </c>
      <c r="AL106" s="70">
        <v>0.99294499999999997</v>
      </c>
      <c r="AM106" s="59">
        <v>3</v>
      </c>
      <c r="AN106" s="70">
        <v>2.6710000000000002E-3</v>
      </c>
      <c r="AO106" s="59">
        <v>1120</v>
      </c>
      <c r="AP106" s="70">
        <v>0.99732799999999999</v>
      </c>
    </row>
    <row r="107" spans="2:42" x14ac:dyDescent="0.2">
      <c r="B107" s="58" t="s">
        <v>18</v>
      </c>
      <c r="C107" s="59">
        <v>8</v>
      </c>
      <c r="D107" s="70">
        <v>6.4980000000000003E-3</v>
      </c>
      <c r="E107" s="59">
        <v>1223</v>
      </c>
      <c r="F107" s="70">
        <v>0.99350099999999997</v>
      </c>
      <c r="G107" s="59">
        <v>10</v>
      </c>
      <c r="H107" s="70">
        <v>8.3750000000000005E-3</v>
      </c>
      <c r="I107" s="59">
        <v>1184</v>
      </c>
      <c r="J107" s="70">
        <v>0.99162399999999995</v>
      </c>
      <c r="K107" s="59">
        <v>5</v>
      </c>
      <c r="L107" s="70">
        <v>5.2459999999999998E-3</v>
      </c>
      <c r="M107" s="59">
        <v>948</v>
      </c>
      <c r="N107" s="70">
        <v>0.994753</v>
      </c>
      <c r="O107" s="59">
        <v>5</v>
      </c>
      <c r="P107" s="70">
        <v>6.1120000000000002E-3</v>
      </c>
      <c r="Q107" s="59">
        <v>813</v>
      </c>
      <c r="R107" s="70">
        <v>0.99388699999999996</v>
      </c>
      <c r="S107" s="59">
        <v>8</v>
      </c>
      <c r="T107" s="70">
        <v>8.5830000000000004E-3</v>
      </c>
      <c r="U107" s="59">
        <v>924</v>
      </c>
      <c r="V107" s="70">
        <v>0.99141599999999996</v>
      </c>
      <c r="W107" s="59">
        <v>1</v>
      </c>
      <c r="X107" s="70">
        <v>1.005E-3</v>
      </c>
      <c r="Y107" s="59">
        <v>994</v>
      </c>
      <c r="Z107" s="70">
        <v>0.99899400000000005</v>
      </c>
      <c r="AA107" s="59">
        <v>11</v>
      </c>
      <c r="AB107" s="70">
        <v>1.4156999999999999E-2</v>
      </c>
      <c r="AC107" s="59">
        <v>766</v>
      </c>
      <c r="AD107" s="70">
        <v>0.985842</v>
      </c>
      <c r="AE107" s="59">
        <v>5</v>
      </c>
      <c r="AF107" s="70">
        <v>7.8860000000000006E-3</v>
      </c>
      <c r="AG107" s="59">
        <v>629</v>
      </c>
      <c r="AH107" s="70">
        <v>0.99211300000000002</v>
      </c>
      <c r="AI107" s="59">
        <v>4</v>
      </c>
      <c r="AJ107" s="70">
        <v>7.7070000000000003E-3</v>
      </c>
      <c r="AK107" s="59">
        <v>515</v>
      </c>
      <c r="AL107" s="70">
        <v>0.99229199999999995</v>
      </c>
      <c r="AM107" s="59">
        <v>6</v>
      </c>
      <c r="AN107" s="70">
        <v>9.1039999999999992E-3</v>
      </c>
      <c r="AO107" s="59">
        <v>653</v>
      </c>
      <c r="AP107" s="70">
        <v>0.99089499999999997</v>
      </c>
    </row>
    <row r="108" spans="2:42" x14ac:dyDescent="0.2">
      <c r="B108" s="58" t="s">
        <v>19</v>
      </c>
      <c r="C108" s="59">
        <v>13</v>
      </c>
      <c r="D108" s="70">
        <v>4.3779999999999999E-3</v>
      </c>
      <c r="E108" s="59">
        <v>2956</v>
      </c>
      <c r="F108" s="70">
        <v>0.99562099999999998</v>
      </c>
      <c r="G108" s="59">
        <v>7</v>
      </c>
      <c r="H108" s="70">
        <v>2.4120000000000001E-3</v>
      </c>
      <c r="I108" s="59">
        <v>2894</v>
      </c>
      <c r="J108" s="70">
        <v>0.997587</v>
      </c>
      <c r="K108" s="59">
        <v>5</v>
      </c>
      <c r="L108" s="70">
        <v>1.709E-3</v>
      </c>
      <c r="M108" s="59">
        <v>2919</v>
      </c>
      <c r="N108" s="70">
        <v>0.99829000000000001</v>
      </c>
      <c r="O108" s="59">
        <v>7</v>
      </c>
      <c r="P108" s="70">
        <v>2.6440000000000001E-3</v>
      </c>
      <c r="Q108" s="59">
        <v>2640</v>
      </c>
      <c r="R108" s="70">
        <v>0.99735499999999999</v>
      </c>
      <c r="S108" s="59">
        <v>7</v>
      </c>
      <c r="T108" s="70">
        <v>2.575E-3</v>
      </c>
      <c r="U108" s="59">
        <v>2711</v>
      </c>
      <c r="V108" s="70">
        <v>0.99742399999999998</v>
      </c>
      <c r="W108" s="59">
        <v>8</v>
      </c>
      <c r="X108" s="70">
        <v>3.2330000000000002E-3</v>
      </c>
      <c r="Y108" s="59">
        <v>2466</v>
      </c>
      <c r="Z108" s="70">
        <v>0.99676600000000004</v>
      </c>
      <c r="AA108" s="59">
        <v>7</v>
      </c>
      <c r="AB108" s="70">
        <v>3.189E-3</v>
      </c>
      <c r="AC108" s="59">
        <v>2188</v>
      </c>
      <c r="AD108" s="70">
        <v>0.99680999999999997</v>
      </c>
      <c r="AE108" s="59">
        <v>4</v>
      </c>
      <c r="AF108" s="70">
        <v>1.7329999999999999E-3</v>
      </c>
      <c r="AG108" s="59">
        <v>2304</v>
      </c>
      <c r="AH108" s="70">
        <v>0.99826599999999999</v>
      </c>
      <c r="AI108" s="59">
        <v>6</v>
      </c>
      <c r="AJ108" s="70">
        <v>3.0609999999999999E-3</v>
      </c>
      <c r="AK108" s="59">
        <v>1954</v>
      </c>
      <c r="AL108" s="70">
        <v>0.99693799999999999</v>
      </c>
      <c r="AM108" s="59">
        <v>5</v>
      </c>
      <c r="AN108" s="70">
        <v>2.8500000000000001E-3</v>
      </c>
      <c r="AO108" s="59">
        <v>1749</v>
      </c>
      <c r="AP108" s="70">
        <v>0.99714899999999995</v>
      </c>
    </row>
    <row r="109" spans="2:42" x14ac:dyDescent="0.2">
      <c r="B109" s="58" t="s">
        <v>20</v>
      </c>
      <c r="C109" s="59">
        <v>1</v>
      </c>
      <c r="D109" s="70">
        <v>4.9700000000000005E-4</v>
      </c>
      <c r="E109" s="59">
        <v>2009</v>
      </c>
      <c r="F109" s="70">
        <v>0.999502</v>
      </c>
      <c r="G109" s="59">
        <v>1</v>
      </c>
      <c r="H109" s="70">
        <v>4.9200000000000003E-4</v>
      </c>
      <c r="I109" s="59">
        <v>2029</v>
      </c>
      <c r="J109" s="70">
        <v>0.99950700000000003</v>
      </c>
      <c r="K109" s="59">
        <v>0</v>
      </c>
      <c r="L109" s="70">
        <v>0</v>
      </c>
      <c r="M109" s="59">
        <v>1990</v>
      </c>
      <c r="N109" s="70">
        <v>0.99999899999999997</v>
      </c>
      <c r="O109" s="59">
        <v>4</v>
      </c>
      <c r="P109" s="70">
        <v>2.2070000000000002E-3</v>
      </c>
      <c r="Q109" s="59">
        <v>1808</v>
      </c>
      <c r="R109" s="70">
        <v>0.99779200000000001</v>
      </c>
      <c r="S109" s="59">
        <v>2</v>
      </c>
      <c r="T109" s="70">
        <v>1.124E-3</v>
      </c>
      <c r="U109" s="59">
        <v>1777</v>
      </c>
      <c r="V109" s="70">
        <v>0.99887499999999996</v>
      </c>
      <c r="W109" s="59">
        <v>2</v>
      </c>
      <c r="X109" s="70">
        <v>1.075E-3</v>
      </c>
      <c r="Y109" s="59">
        <v>1857</v>
      </c>
      <c r="Z109" s="70">
        <v>0.99892400000000003</v>
      </c>
      <c r="AA109" s="59">
        <v>4</v>
      </c>
      <c r="AB109" s="70">
        <v>2.3649999999999999E-3</v>
      </c>
      <c r="AC109" s="59">
        <v>1687</v>
      </c>
      <c r="AD109" s="70">
        <v>0.99763400000000002</v>
      </c>
      <c r="AE109" s="59">
        <v>2</v>
      </c>
      <c r="AF109" s="70">
        <v>1.2459999999999999E-3</v>
      </c>
      <c r="AG109" s="59">
        <v>1602</v>
      </c>
      <c r="AH109" s="70">
        <v>0.998753</v>
      </c>
      <c r="AI109" s="59">
        <v>3</v>
      </c>
      <c r="AJ109" s="70">
        <v>1.8339999999999999E-3</v>
      </c>
      <c r="AK109" s="59">
        <v>1632</v>
      </c>
      <c r="AL109" s="70">
        <v>0.99816499999999997</v>
      </c>
      <c r="AM109" s="59">
        <v>1</v>
      </c>
      <c r="AN109" s="70">
        <v>7.18E-4</v>
      </c>
      <c r="AO109" s="59">
        <v>1391</v>
      </c>
      <c r="AP109" s="70">
        <v>0.99928099999999997</v>
      </c>
    </row>
    <row r="110" spans="2:42" x14ac:dyDescent="0.2">
      <c r="B110" s="58" t="s">
        <v>21</v>
      </c>
      <c r="C110" s="59">
        <v>10</v>
      </c>
      <c r="D110" s="70">
        <v>8.7180000000000001E-3</v>
      </c>
      <c r="E110" s="59">
        <v>1137</v>
      </c>
      <c r="F110" s="70">
        <v>0.99128099999999997</v>
      </c>
      <c r="G110" s="59">
        <v>5</v>
      </c>
      <c r="H110" s="70">
        <v>4.2119999999999996E-3</v>
      </c>
      <c r="I110" s="59">
        <v>1182</v>
      </c>
      <c r="J110" s="70">
        <v>0.99578699999999998</v>
      </c>
      <c r="K110" s="59">
        <v>5</v>
      </c>
      <c r="L110" s="70">
        <v>4.5490000000000001E-3</v>
      </c>
      <c r="M110" s="59">
        <v>1094</v>
      </c>
      <c r="N110" s="70">
        <v>0.99544999999999995</v>
      </c>
      <c r="O110" s="59">
        <v>2</v>
      </c>
      <c r="P110" s="70">
        <v>1.9239999999999999E-3</v>
      </c>
      <c r="Q110" s="59">
        <v>1037</v>
      </c>
      <c r="R110" s="70">
        <v>0.99807500000000005</v>
      </c>
      <c r="S110" s="59">
        <v>7</v>
      </c>
      <c r="T110" s="70">
        <v>8.1200000000000005E-3</v>
      </c>
      <c r="U110" s="59">
        <v>855</v>
      </c>
      <c r="V110" s="70">
        <v>0.99187899999999996</v>
      </c>
      <c r="W110" s="59">
        <v>4</v>
      </c>
      <c r="X110" s="70">
        <v>4.8190000000000004E-3</v>
      </c>
      <c r="Y110" s="59">
        <v>826</v>
      </c>
      <c r="Z110" s="70">
        <v>0.99517999999999995</v>
      </c>
      <c r="AA110" s="59">
        <v>3</v>
      </c>
      <c r="AB110" s="70">
        <v>3.9160000000000002E-3</v>
      </c>
      <c r="AC110" s="59">
        <v>763</v>
      </c>
      <c r="AD110" s="70">
        <v>0.99608300000000005</v>
      </c>
      <c r="AE110" s="59">
        <v>5</v>
      </c>
      <c r="AF110" s="70">
        <v>6.8300000000000001E-3</v>
      </c>
      <c r="AG110" s="59">
        <v>727</v>
      </c>
      <c r="AH110" s="70">
        <v>0.99316899999999997</v>
      </c>
      <c r="AI110" s="59">
        <v>2</v>
      </c>
      <c r="AJ110" s="70">
        <v>3.1389999999999999E-3</v>
      </c>
      <c r="AK110" s="59">
        <v>635</v>
      </c>
      <c r="AL110" s="70">
        <v>0.99685999999999997</v>
      </c>
      <c r="AM110" s="59">
        <v>4</v>
      </c>
      <c r="AN110" s="70">
        <v>7.2989999999999999E-3</v>
      </c>
      <c r="AO110" s="59">
        <v>544</v>
      </c>
      <c r="AP110" s="70">
        <v>0.99270000000000003</v>
      </c>
    </row>
    <row r="111" spans="2:42" x14ac:dyDescent="0.2">
      <c r="B111" s="58" t="s">
        <v>22</v>
      </c>
      <c r="C111" s="59">
        <v>8</v>
      </c>
      <c r="D111" s="70">
        <v>1.6129000000000001E-2</v>
      </c>
      <c r="E111" s="59">
        <v>488</v>
      </c>
      <c r="F111" s="70">
        <v>0.98387000000000002</v>
      </c>
      <c r="G111" s="59">
        <v>5</v>
      </c>
      <c r="H111" s="70">
        <v>1.0437999999999999E-2</v>
      </c>
      <c r="I111" s="59">
        <v>474</v>
      </c>
      <c r="J111" s="70">
        <v>0.98956100000000002</v>
      </c>
      <c r="K111" s="59">
        <v>5</v>
      </c>
      <c r="L111" s="70">
        <v>1.0964E-2</v>
      </c>
      <c r="M111" s="59">
        <v>451</v>
      </c>
      <c r="N111" s="70">
        <v>0.989035</v>
      </c>
      <c r="O111" s="59">
        <v>2</v>
      </c>
      <c r="P111" s="70">
        <v>4.2729999999999999E-3</v>
      </c>
      <c r="Q111" s="59">
        <v>466</v>
      </c>
      <c r="R111" s="70">
        <v>0.995726</v>
      </c>
      <c r="S111" s="59">
        <v>0</v>
      </c>
      <c r="T111" s="70">
        <v>0</v>
      </c>
      <c r="U111" s="59">
        <v>396</v>
      </c>
      <c r="V111" s="70">
        <v>0.99999899999999997</v>
      </c>
      <c r="W111" s="59">
        <v>5</v>
      </c>
      <c r="X111" s="70">
        <v>1.6025000000000001E-2</v>
      </c>
      <c r="Y111" s="59">
        <v>307</v>
      </c>
      <c r="Z111" s="70">
        <v>0.98397400000000002</v>
      </c>
      <c r="AA111" s="59">
        <v>5</v>
      </c>
      <c r="AB111" s="70">
        <v>1.4577E-2</v>
      </c>
      <c r="AC111" s="59">
        <v>338</v>
      </c>
      <c r="AD111" s="70">
        <v>0.98542200000000002</v>
      </c>
      <c r="AE111" s="59">
        <v>3</v>
      </c>
      <c r="AF111" s="70">
        <v>1.0067E-2</v>
      </c>
      <c r="AG111" s="59">
        <v>295</v>
      </c>
      <c r="AH111" s="70">
        <v>0.98993200000000003</v>
      </c>
      <c r="AI111" s="59">
        <v>1</v>
      </c>
      <c r="AJ111" s="70">
        <v>3.8609999999999998E-3</v>
      </c>
      <c r="AK111" s="59">
        <v>258</v>
      </c>
      <c r="AL111" s="70">
        <v>0.99613799999999997</v>
      </c>
      <c r="AM111" s="59">
        <v>4</v>
      </c>
      <c r="AN111" s="70">
        <v>1.1695000000000001E-2</v>
      </c>
      <c r="AO111" s="59">
        <v>338</v>
      </c>
      <c r="AP111" s="70">
        <v>0.98830399999999996</v>
      </c>
    </row>
    <row r="112" spans="2:42" x14ac:dyDescent="0.2">
      <c r="B112" s="58" t="s">
        <v>23</v>
      </c>
      <c r="C112" s="59">
        <v>2</v>
      </c>
      <c r="D112" s="70">
        <v>1.534E-3</v>
      </c>
      <c r="E112" s="59">
        <v>1301</v>
      </c>
      <c r="F112" s="70">
        <v>0.99846500000000005</v>
      </c>
      <c r="G112" s="59">
        <v>2</v>
      </c>
      <c r="H112" s="70">
        <v>1.555E-3</v>
      </c>
      <c r="I112" s="59">
        <v>1284</v>
      </c>
      <c r="J112" s="70">
        <v>0.998444</v>
      </c>
      <c r="K112" s="59">
        <v>2</v>
      </c>
      <c r="L112" s="70">
        <v>1.5399999999999999E-3</v>
      </c>
      <c r="M112" s="59">
        <v>1296</v>
      </c>
      <c r="N112" s="70">
        <v>0.99845899999999999</v>
      </c>
      <c r="O112" s="59">
        <v>0</v>
      </c>
      <c r="P112" s="70">
        <v>0</v>
      </c>
      <c r="Q112" s="59">
        <v>1277</v>
      </c>
      <c r="R112" s="70">
        <v>0.99999899999999997</v>
      </c>
      <c r="S112" s="59">
        <v>1</v>
      </c>
      <c r="T112" s="70">
        <v>7.4899999999999999E-4</v>
      </c>
      <c r="U112" s="59">
        <v>1334</v>
      </c>
      <c r="V112" s="70">
        <v>0.99924999999999997</v>
      </c>
      <c r="W112" s="59">
        <v>1</v>
      </c>
      <c r="X112" s="70">
        <v>7.5699999999999997E-4</v>
      </c>
      <c r="Y112" s="59">
        <v>1319</v>
      </c>
      <c r="Z112" s="70">
        <v>0.99924199999999996</v>
      </c>
      <c r="AA112" s="59">
        <v>1</v>
      </c>
      <c r="AB112" s="70">
        <v>7.6400000000000003E-4</v>
      </c>
      <c r="AC112" s="59">
        <v>1307</v>
      </c>
      <c r="AD112" s="70">
        <v>0.99923499999999998</v>
      </c>
      <c r="AE112" s="59">
        <v>4</v>
      </c>
      <c r="AF112" s="70">
        <v>2.98E-3</v>
      </c>
      <c r="AG112" s="59">
        <v>1338</v>
      </c>
      <c r="AH112" s="70">
        <v>0.99701899999999999</v>
      </c>
      <c r="AI112" s="59">
        <v>0</v>
      </c>
      <c r="AJ112" s="70">
        <v>0</v>
      </c>
      <c r="AK112" s="59">
        <v>1344</v>
      </c>
      <c r="AL112" s="70">
        <v>0.99999899999999997</v>
      </c>
      <c r="AM112" s="59">
        <v>0</v>
      </c>
      <c r="AN112" s="70">
        <v>0</v>
      </c>
      <c r="AO112" s="59">
        <v>1288</v>
      </c>
      <c r="AP112" s="70">
        <v>0.99999899999999997</v>
      </c>
    </row>
    <row r="113" spans="2:42" x14ac:dyDescent="0.2">
      <c r="B113" s="58" t="s">
        <v>24</v>
      </c>
      <c r="C113" s="59">
        <v>1</v>
      </c>
      <c r="D113" s="70">
        <v>5.8500000000000002E-4</v>
      </c>
      <c r="E113" s="59">
        <v>1707</v>
      </c>
      <c r="F113" s="70">
        <v>0.99941400000000002</v>
      </c>
      <c r="G113" s="59">
        <v>4</v>
      </c>
      <c r="H113" s="70">
        <v>2.2899999999999999E-3</v>
      </c>
      <c r="I113" s="59">
        <v>1742</v>
      </c>
      <c r="J113" s="70">
        <v>0.99770899999999996</v>
      </c>
      <c r="K113" s="59">
        <v>4</v>
      </c>
      <c r="L113" s="70">
        <v>2.702E-3</v>
      </c>
      <c r="M113" s="59">
        <v>1476</v>
      </c>
      <c r="N113" s="70">
        <v>0.99729699999999999</v>
      </c>
      <c r="O113" s="59">
        <v>7</v>
      </c>
      <c r="P113" s="70">
        <v>4.6169999999999996E-3</v>
      </c>
      <c r="Q113" s="59">
        <v>1509</v>
      </c>
      <c r="R113" s="70">
        <v>0.99538199999999999</v>
      </c>
      <c r="S113" s="59">
        <v>5</v>
      </c>
      <c r="T113" s="70">
        <v>3.408E-3</v>
      </c>
      <c r="U113" s="59">
        <v>1462</v>
      </c>
      <c r="V113" s="70">
        <v>0.996591</v>
      </c>
      <c r="W113" s="59">
        <v>3</v>
      </c>
      <c r="X113" s="70">
        <v>2.166E-3</v>
      </c>
      <c r="Y113" s="59">
        <v>1382</v>
      </c>
      <c r="Z113" s="70">
        <v>0.99783299999999997</v>
      </c>
      <c r="AA113" s="59">
        <v>5</v>
      </c>
      <c r="AB113" s="70">
        <v>3.6280000000000001E-3</v>
      </c>
      <c r="AC113" s="59">
        <v>1373</v>
      </c>
      <c r="AD113" s="70">
        <v>0.99637100000000001</v>
      </c>
      <c r="AE113" s="59">
        <v>3</v>
      </c>
      <c r="AF113" s="70">
        <v>2.4789999999999999E-3</v>
      </c>
      <c r="AG113" s="59">
        <v>1207</v>
      </c>
      <c r="AH113" s="70">
        <v>0.99751999999999996</v>
      </c>
      <c r="AI113" s="59">
        <v>3</v>
      </c>
      <c r="AJ113" s="70">
        <v>2.2179999999999999E-3</v>
      </c>
      <c r="AK113" s="59">
        <v>1349</v>
      </c>
      <c r="AL113" s="70">
        <v>0.99778100000000003</v>
      </c>
      <c r="AM113" s="59">
        <v>6</v>
      </c>
      <c r="AN113" s="70">
        <v>4.6360000000000004E-3</v>
      </c>
      <c r="AO113" s="59">
        <v>1288</v>
      </c>
      <c r="AP113" s="70">
        <v>0.995363</v>
      </c>
    </row>
    <row r="114" spans="2:42" x14ac:dyDescent="0.2">
      <c r="B114" s="58" t="s">
        <v>25</v>
      </c>
      <c r="C114" s="59">
        <v>0</v>
      </c>
      <c r="D114" s="70">
        <v>0</v>
      </c>
      <c r="E114" s="59">
        <v>1574</v>
      </c>
      <c r="F114" s="70">
        <v>0.99999899999999997</v>
      </c>
      <c r="G114" s="59">
        <v>0</v>
      </c>
      <c r="H114" s="70">
        <v>0</v>
      </c>
      <c r="I114" s="59">
        <v>1534</v>
      </c>
      <c r="J114" s="70">
        <v>0.99999899999999997</v>
      </c>
      <c r="K114" s="59">
        <v>1</v>
      </c>
      <c r="L114" s="70">
        <v>6.4700000000000001E-4</v>
      </c>
      <c r="M114" s="59">
        <v>1543</v>
      </c>
      <c r="N114" s="70">
        <v>0.99935200000000002</v>
      </c>
      <c r="O114" s="59">
        <v>1</v>
      </c>
      <c r="P114" s="70">
        <v>7.1000000000000002E-4</v>
      </c>
      <c r="Q114" s="59">
        <v>1407</v>
      </c>
      <c r="R114" s="70">
        <v>0.99928899999999998</v>
      </c>
      <c r="S114" s="59">
        <v>0</v>
      </c>
      <c r="T114" s="70">
        <v>0</v>
      </c>
      <c r="U114" s="59">
        <v>1586</v>
      </c>
      <c r="V114" s="70">
        <v>0.99999899999999997</v>
      </c>
      <c r="W114" s="59">
        <v>2</v>
      </c>
      <c r="X114" s="70">
        <v>1.3129999999999999E-3</v>
      </c>
      <c r="Y114" s="59">
        <v>1521</v>
      </c>
      <c r="Z114" s="70">
        <v>0.99868599999999996</v>
      </c>
      <c r="AA114" s="59">
        <v>1</v>
      </c>
      <c r="AB114" s="70">
        <v>6.3900000000000003E-4</v>
      </c>
      <c r="AC114" s="59">
        <v>1563</v>
      </c>
      <c r="AD114" s="70">
        <v>0.99936000000000003</v>
      </c>
      <c r="AE114" s="59">
        <v>0</v>
      </c>
      <c r="AF114" s="70">
        <v>0</v>
      </c>
      <c r="AG114" s="59">
        <v>1596</v>
      </c>
      <c r="AH114" s="70">
        <v>0.99999899999999997</v>
      </c>
      <c r="AI114" s="59">
        <v>0</v>
      </c>
      <c r="AJ114" s="70">
        <v>0</v>
      </c>
      <c r="AK114" s="59">
        <v>1553</v>
      </c>
      <c r="AL114" s="70">
        <v>0.99999899999999997</v>
      </c>
      <c r="AM114" s="59">
        <v>0</v>
      </c>
      <c r="AN114" s="70">
        <v>0</v>
      </c>
      <c r="AO114" s="59">
        <v>1579</v>
      </c>
      <c r="AP114" s="70">
        <v>0.99999899999999997</v>
      </c>
    </row>
    <row r="115" spans="2:42" x14ac:dyDescent="0.2">
      <c r="B115" s="61" t="s">
        <v>26</v>
      </c>
      <c r="C115" s="62">
        <v>1</v>
      </c>
      <c r="D115" s="72">
        <v>4.84E-4</v>
      </c>
      <c r="E115" s="62">
        <v>2061</v>
      </c>
      <c r="F115" s="72">
        <v>0.99951500000000004</v>
      </c>
      <c r="G115" s="62">
        <v>0</v>
      </c>
      <c r="H115" s="72">
        <v>0</v>
      </c>
      <c r="I115" s="62">
        <v>2283</v>
      </c>
      <c r="J115" s="72">
        <v>0.99999899999999997</v>
      </c>
      <c r="K115" s="62">
        <v>0</v>
      </c>
      <c r="L115" s="72">
        <v>0</v>
      </c>
      <c r="M115" s="62">
        <v>2326</v>
      </c>
      <c r="N115" s="72">
        <v>0.99999899999999997</v>
      </c>
      <c r="O115" s="62">
        <v>3</v>
      </c>
      <c r="P115" s="72">
        <v>1.3079999999999999E-3</v>
      </c>
      <c r="Q115" s="62">
        <v>2289</v>
      </c>
      <c r="R115" s="72">
        <v>0.998691</v>
      </c>
      <c r="S115" s="62">
        <v>2</v>
      </c>
      <c r="T115" s="72">
        <v>8.5300000000000003E-4</v>
      </c>
      <c r="U115" s="62">
        <v>2342</v>
      </c>
      <c r="V115" s="72">
        <v>0.99914599999999998</v>
      </c>
      <c r="W115" s="62">
        <v>1</v>
      </c>
      <c r="X115" s="72">
        <v>4.1899999999999999E-4</v>
      </c>
      <c r="Y115" s="62">
        <v>2380</v>
      </c>
      <c r="Z115" s="72">
        <v>0.99958000000000002</v>
      </c>
      <c r="AA115" s="62">
        <v>0</v>
      </c>
      <c r="AB115" s="72">
        <v>0</v>
      </c>
      <c r="AC115" s="62">
        <v>2441</v>
      </c>
      <c r="AD115" s="72">
        <v>0.99999899999999997</v>
      </c>
      <c r="AE115" s="62">
        <v>2</v>
      </c>
      <c r="AF115" s="72">
        <v>7.6300000000000001E-4</v>
      </c>
      <c r="AG115" s="62">
        <v>2618</v>
      </c>
      <c r="AH115" s="72">
        <v>0.99923600000000001</v>
      </c>
      <c r="AI115" s="62">
        <v>1</v>
      </c>
      <c r="AJ115" s="72">
        <v>3.6000000000000002E-4</v>
      </c>
      <c r="AK115" s="62">
        <v>2770</v>
      </c>
      <c r="AL115" s="72">
        <v>0.99963900000000006</v>
      </c>
      <c r="AM115" s="62">
        <v>3</v>
      </c>
      <c r="AN115" s="72">
        <v>1.0480000000000001E-3</v>
      </c>
      <c r="AO115" s="62">
        <v>2857</v>
      </c>
      <c r="AP115" s="72">
        <v>0.99895100000000003</v>
      </c>
    </row>
    <row r="116" spans="2:42" x14ac:dyDescent="0.2">
      <c r="B116" s="20" t="s">
        <v>27</v>
      </c>
      <c r="C116" s="21">
        <f>SUBTOTAL(109,'Non Traditonal Enrollment Trend'!$C$102:$C$115)</f>
        <v>106</v>
      </c>
      <c r="D116" s="22">
        <f>'Non Traditonal Enrollment Trend'!$C$116/('Non Traditonal Enrollment Trend'!$C$116 +'Non Traditonal Enrollment Trend'!$E$116)</f>
        <v>5.2091011843333826E-3</v>
      </c>
      <c r="E116" s="21">
        <f>SUBTOTAL(109,'Non Traditonal Enrollment Trend'!$E$102:$E$115)</f>
        <v>20243</v>
      </c>
      <c r="F116" s="22">
        <f>'Non Traditonal Enrollment Trend'!$E$116 / ('Non Traditonal Enrollment Trend'!$C$116 +'Non Traditonal Enrollment Trend'!$E$116)</f>
        <v>0.99479089881566662</v>
      </c>
      <c r="G116" s="21">
        <f>SUBTOTAL(109,'Non Traditonal Enrollment Trend'!$G$102:$G$115)</f>
        <v>96</v>
      </c>
      <c r="H116" s="22">
        <f>'Non Traditonal Enrollment Trend'!$G$116 / ('Non Traditonal Enrollment Trend'!$G$116 +'Non Traditonal Enrollment Trend'!$I$116)</f>
        <v>4.7716089268850341E-3</v>
      </c>
      <c r="I116" s="21">
        <f>SUBTOTAL(109,'Non Traditonal Enrollment Trend'!$I$102:$I$115)</f>
        <v>20023</v>
      </c>
      <c r="J116" s="22">
        <f>'Non Traditonal Enrollment Trend'!$I$116/('Non Traditonal Enrollment Trend'!$I$116 + 'Non Traditonal Enrollment Trend'!$G$116)</f>
        <v>0.995228391073115</v>
      </c>
      <c r="K116" s="21">
        <f>SUBTOTAL(109,'Non Traditonal Enrollment Trend'!$K$102:$K$115)</f>
        <v>60</v>
      </c>
      <c r="L116" s="22">
        <f>'Non Traditonal Enrollment Trend'!$K$116 / ('Non Traditonal Enrollment Trend'!$K$116 + 'Non Traditonal Enrollment Trend'!$M$116)</f>
        <v>3.1436655139893115E-3</v>
      </c>
      <c r="M116" s="21">
        <f>SUBTOTAL(109,'Non Traditonal Enrollment Trend'!$M$102:$M$115)</f>
        <v>19026</v>
      </c>
      <c r="N116" s="22">
        <f>'Non Traditonal Enrollment Trend'!$M$116 / ('Non Traditonal Enrollment Trend'!$M$116 + 'Non Traditonal Enrollment Trend'!$K$116)</f>
        <v>0.99685633448601074</v>
      </c>
      <c r="O116" s="21">
        <f>SUBTOTAL(109,'Non Traditonal Enrollment Trend'!$O$102:$O$115)</f>
        <v>49</v>
      </c>
      <c r="P116" s="22">
        <f>'Non Traditonal Enrollment Trend'!$O$116 / ('Non Traditonal Enrollment Trend'!$O$116 +'Non Traditonal Enrollment Trend'!$Q$116)</f>
        <v>2.5997453310696093E-3</v>
      </c>
      <c r="Q116" s="21">
        <f>SUBTOTAL(109,'Non Traditonal Enrollment Trend'!$Q$102:$Q$115)</f>
        <v>18799</v>
      </c>
      <c r="R116" s="22">
        <f>'Non Traditonal Enrollment Trend'!$Q$116 / ('Non Traditonal Enrollment Trend'!$Q$116 +'Non Traditonal Enrollment Trend'!$O$116)</f>
        <v>0.99740025466893034</v>
      </c>
      <c r="S116" s="21">
        <f>SUBTOTAL(109,'Non Traditonal Enrollment Trend'!$S$102:$S$115)</f>
        <v>68</v>
      </c>
      <c r="T116" s="22">
        <f>'Non Traditonal Enrollment Trend'!$S$116 / ('Non Traditonal Enrollment Trend'!$S$116 +'Non Traditonal Enrollment Trend'!$U$116)</f>
        <v>3.6260864928278143E-3</v>
      </c>
      <c r="U116" s="21">
        <f>SUBTOTAL(109,'Non Traditonal Enrollment Trend'!$U$102:$U$115)</f>
        <v>18685</v>
      </c>
      <c r="V116" s="22">
        <f>'Non Traditonal Enrollment Trend'!$U$116 / ( 'Non Traditonal Enrollment Trend'!$U$116 +'Non Traditonal Enrollment Trend'!$S$116)</f>
        <v>0.99637391350717219</v>
      </c>
      <c r="W116" s="21">
        <f>SUBTOTAL(109,'Non Traditonal Enrollment Trend'!$W$102:$W$115)</f>
        <v>63</v>
      </c>
      <c r="X116" s="22">
        <f>'Non Traditonal Enrollment Trend'!$W$116 / ('Non Traditonal Enrollment Trend'!$W$116 + 'Non Traditonal Enrollment Trend'!$Y$116)</f>
        <v>3.4588777863182167E-3</v>
      </c>
      <c r="Y116" s="21">
        <f>SUBTOTAL(109,'Non Traditonal Enrollment Trend'!$Y$102:$Y$115)</f>
        <v>18151</v>
      </c>
      <c r="Z116" s="22">
        <f>'Non Traditonal Enrollment Trend'!$Y$116 / ('Non Traditonal Enrollment Trend'!$Y$116 +'Non Traditonal Enrollment Trend'!$W$116)</f>
        <v>0.99654112221368174</v>
      </c>
      <c r="AA116" s="21">
        <f>SUBTOTAL(109,'Non Traditonal Enrollment Trend'!$AA$102:$AA$115)</f>
        <v>69</v>
      </c>
      <c r="AB116" s="22">
        <f>'Non Traditonal Enrollment Trend'!$AA$116/( 'Non Traditonal Enrollment Trend'!$AA$116 +'Non Traditonal Enrollment Trend'!$AC$116)</f>
        <v>3.9410555174777245E-3</v>
      </c>
      <c r="AC116" s="21">
        <f>SUBTOTAL(109,'Non Traditonal Enrollment Trend'!$AC$102:$AC$115)</f>
        <v>17439</v>
      </c>
      <c r="AD116" s="22">
        <f>'Non Traditonal Enrollment Trend'!$AC$116 / ('Non Traditonal Enrollment Trend'!$AC$116 + 'Non Traditonal Enrollment Trend'!$AA$116)</f>
        <v>0.9960589444825223</v>
      </c>
      <c r="AE116" s="21">
        <f>SUBTOTAL(109,'Non Traditonal Enrollment Trend'!$AE$102:$AE$115)</f>
        <v>68</v>
      </c>
      <c r="AF116" s="22">
        <f>'Non Traditonal Enrollment Trend'!$AE$116 / ('Non Traditonal Enrollment Trend'!$AE$116 +'Non Traditonal Enrollment Trend'!$AG$116)</f>
        <v>3.9231523683147754E-3</v>
      </c>
      <c r="AG116" s="21">
        <f>SUBTOTAL(109,'Non Traditonal Enrollment Trend'!$AG$102:$AG$115)</f>
        <v>17265</v>
      </c>
      <c r="AH116" s="22">
        <f>'Non Traditonal Enrollment Trend'!$AG$116 / ('Non Traditonal Enrollment Trend'!$AG$116 +'Non Traditonal Enrollment Trend'!$AE$116)</f>
        <v>0.99607684763168525</v>
      </c>
      <c r="AI116" s="21">
        <f>SUBTOTAL(109,'Non Traditonal Enrollment Trend'!$AI$102:$AI$115)</f>
        <v>56</v>
      </c>
      <c r="AJ116" s="22">
        <f>'Non Traditonal Enrollment Trend'!$AI$116 / ('Non Traditonal Enrollment Trend'!$AI$116 +'Non Traditonal Enrollment Trend'!$AK$116)</f>
        <v>3.357918090783714E-3</v>
      </c>
      <c r="AK116" s="21">
        <f>SUBTOTAL(109,'Non Traditonal Enrollment Trend'!$AK$102:$AK$115)</f>
        <v>16621</v>
      </c>
      <c r="AL116" s="22">
        <f>'Non Traditonal Enrollment Trend'!$AK$116 / ('Non Traditonal Enrollment Trend'!$AK$116 +'Non Traditonal Enrollment Trend'!$AI$116)</f>
        <v>0.99664208190921633</v>
      </c>
      <c r="AM116" s="21">
        <f>SUBTOTAL(109,'Non Traditonal Enrollment Trend'!$AM$102:$AM$115)</f>
        <v>56</v>
      </c>
      <c r="AN116" s="22">
        <f>'Non Traditonal Enrollment Trend'!$AM$116 / ('Non Traditonal Enrollment Trend'!$AM$116 +'Non Traditonal Enrollment Trend'!$AO$116)</f>
        <v>3.3680158777891381E-3</v>
      </c>
      <c r="AO116" s="21">
        <f>SUBTOTAL(109,'Non Traditonal Enrollment Trend'!$AO$102:$AO$115)</f>
        <v>16571</v>
      </c>
      <c r="AP116" s="22">
        <f>'Non Traditonal Enrollment Trend'!$AO$116 / ('Non Traditonal Enrollment Trend'!$AO$116 +'Non Traditonal Enrollment Trend'!$AM$116)</f>
        <v>0.99663198412221088</v>
      </c>
    </row>
  </sheetData>
  <mergeCells count="133">
    <mergeCell ref="E4:F4"/>
    <mergeCell ref="G4:H4"/>
    <mergeCell ref="I4:J4"/>
    <mergeCell ref="K4:L4"/>
    <mergeCell ref="C69:D69"/>
    <mergeCell ref="E69:F69"/>
    <mergeCell ref="G69:H69"/>
    <mergeCell ref="W4:X4"/>
    <mergeCell ref="Y4:Z4"/>
    <mergeCell ref="S4:T4"/>
    <mergeCell ref="U4:V4"/>
    <mergeCell ref="B24:AP24"/>
    <mergeCell ref="C25:F25"/>
    <mergeCell ref="G25:J25"/>
    <mergeCell ref="K25:N25"/>
    <mergeCell ref="O25:R25"/>
    <mergeCell ref="S25:V25"/>
    <mergeCell ref="W25:Z25"/>
    <mergeCell ref="AA25:AD25"/>
    <mergeCell ref="AE25:AH25"/>
    <mergeCell ref="AI25:AL25"/>
    <mergeCell ref="AM25:AP25"/>
    <mergeCell ref="C26:D26"/>
    <mergeCell ref="E26:F26"/>
    <mergeCell ref="B2:AP2"/>
    <mergeCell ref="B1:AP1"/>
    <mergeCell ref="AI3:AL3"/>
    <mergeCell ref="AI4:AJ4"/>
    <mergeCell ref="AK4:AL4"/>
    <mergeCell ref="AM3:AP3"/>
    <mergeCell ref="AM4:AN4"/>
    <mergeCell ref="AO4:AP4"/>
    <mergeCell ref="AA3:AD3"/>
    <mergeCell ref="AA4:AB4"/>
    <mergeCell ref="AC4:AD4"/>
    <mergeCell ref="AE3:AH3"/>
    <mergeCell ref="AE4:AF4"/>
    <mergeCell ref="AG4:AH4"/>
    <mergeCell ref="S3:V3"/>
    <mergeCell ref="W3:Z3"/>
    <mergeCell ref="C3:F3"/>
    <mergeCell ref="G3:J3"/>
    <mergeCell ref="K3:N3"/>
    <mergeCell ref="O3:R3"/>
    <mergeCell ref="M4:N4"/>
    <mergeCell ref="O4:P4"/>
    <mergeCell ref="Q4:R4"/>
    <mergeCell ref="C4:D4"/>
    <mergeCell ref="S47:V47"/>
    <mergeCell ref="W47:Z47"/>
    <mergeCell ref="AA47:AD47"/>
    <mergeCell ref="AE47:AH47"/>
    <mergeCell ref="AI47:AL47"/>
    <mergeCell ref="AM47:AP47"/>
    <mergeCell ref="G26:H26"/>
    <mergeCell ref="I26:J26"/>
    <mergeCell ref="K26:L26"/>
    <mergeCell ref="M26:N26"/>
    <mergeCell ref="O26:P26"/>
    <mergeCell ref="Q26:R26"/>
    <mergeCell ref="AO26:AP26"/>
    <mergeCell ref="S26:T26"/>
    <mergeCell ref="U26:V26"/>
    <mergeCell ref="W26:X26"/>
    <mergeCell ref="Y26:Z26"/>
    <mergeCell ref="AA26:AB26"/>
    <mergeCell ref="AM26:AN26"/>
    <mergeCell ref="AC26:AD26"/>
    <mergeCell ref="AE26:AF26"/>
    <mergeCell ref="AG26:AH26"/>
    <mergeCell ref="AI26:AJ26"/>
    <mergeCell ref="AK26:AL26"/>
    <mergeCell ref="AM99:AN99"/>
    <mergeCell ref="AO99:AP99"/>
    <mergeCell ref="B97:AP97"/>
    <mergeCell ref="C98:F98"/>
    <mergeCell ref="G98:J98"/>
    <mergeCell ref="K98:N98"/>
    <mergeCell ref="O98:R98"/>
    <mergeCell ref="AG48:AH48"/>
    <mergeCell ref="AI48:AJ48"/>
    <mergeCell ref="AK48:AL48"/>
    <mergeCell ref="AM48:AN48"/>
    <mergeCell ref="AO48:AP48"/>
    <mergeCell ref="AE48:AF48"/>
    <mergeCell ref="AM98:AP98"/>
    <mergeCell ref="C99:D99"/>
    <mergeCell ref="E99:F99"/>
    <mergeCell ref="G99:H99"/>
    <mergeCell ref="I99:J99"/>
    <mergeCell ref="K99:L99"/>
    <mergeCell ref="C48:D48"/>
    <mergeCell ref="E48:F48"/>
    <mergeCell ref="G48:H48"/>
    <mergeCell ref="I48:J48"/>
    <mergeCell ref="K48:L48"/>
    <mergeCell ref="AI98:AL98"/>
    <mergeCell ref="AG99:AH99"/>
    <mergeCell ref="AI99:AJ99"/>
    <mergeCell ref="AK99:AL99"/>
    <mergeCell ref="M99:N99"/>
    <mergeCell ref="O99:P99"/>
    <mergeCell ref="Q99:R99"/>
    <mergeCell ref="S99:T99"/>
    <mergeCell ref="U99:V99"/>
    <mergeCell ref="W99:X99"/>
    <mergeCell ref="Y99:Z99"/>
    <mergeCell ref="AA99:AB99"/>
    <mergeCell ref="AC99:AD99"/>
    <mergeCell ref="B3:B5"/>
    <mergeCell ref="B25:B27"/>
    <mergeCell ref="B47:B49"/>
    <mergeCell ref="B69:B70"/>
    <mergeCell ref="B98:B100"/>
    <mergeCell ref="AE99:AF99"/>
    <mergeCell ref="S98:V98"/>
    <mergeCell ref="W98:Z98"/>
    <mergeCell ref="AA98:AD98"/>
    <mergeCell ref="AE98:AH98"/>
    <mergeCell ref="U48:V48"/>
    <mergeCell ref="W48:X48"/>
    <mergeCell ref="Y48:Z48"/>
    <mergeCell ref="AA48:AB48"/>
    <mergeCell ref="AC48:AD48"/>
    <mergeCell ref="M48:N48"/>
    <mergeCell ref="O48:P48"/>
    <mergeCell ref="Q48:R48"/>
    <mergeCell ref="S48:T48"/>
    <mergeCell ref="B46:AP46"/>
    <mergeCell ref="C47:F47"/>
    <mergeCell ref="G47:J47"/>
    <mergeCell ref="K47:N47"/>
    <mergeCell ref="O47:R47"/>
  </mergeCells>
  <printOptions horizontalCentered="1"/>
  <pageMargins left="0.5" right="0.5" top="1" bottom="0.5" header="0.3" footer="0.3"/>
  <pageSetup paperSize="17" scale="49" fitToHeight="0" orientation="landscape" r:id="rId1"/>
  <headerFooter>
    <oddHeader>&amp;L&amp;"Arial,Regular"&amp;10Pennsylvania's State System of Higher Education | &amp;D
Office of Educational Intelligence | Page &amp;P of &amp;N</oddHeader>
  </headerFooter>
  <rowBreaks count="1" manualBreakCount="1">
    <brk id="96" min="1" max="4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B1:BA26"/>
  <sheetViews>
    <sheetView zoomScaleNormal="100" workbookViewId="0">
      <selection activeCell="B1" sqref="B1:AA1"/>
    </sheetView>
  </sheetViews>
  <sheetFormatPr defaultRowHeight="14.25" x14ac:dyDescent="0.2"/>
  <cols>
    <col min="1" max="1" width="9.140625" style="5"/>
    <col min="2" max="2" width="23.5703125" style="5" customWidth="1"/>
    <col min="3" max="27" width="10.7109375" style="5" customWidth="1"/>
    <col min="28" max="47" width="10.140625" style="5" customWidth="1"/>
    <col min="48" max="52" width="11.140625" style="5" customWidth="1"/>
    <col min="53" max="53" width="33.7109375" style="5" bestFit="1" customWidth="1"/>
    <col min="54" max="16384" width="9.140625" style="5"/>
  </cols>
  <sheetData>
    <row r="1" spans="2:53" ht="15" x14ac:dyDescent="0.2">
      <c r="B1" s="131" t="s">
        <v>0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78"/>
      <c r="AC1" s="78"/>
      <c r="AD1" s="78"/>
      <c r="AE1" s="78"/>
      <c r="AF1" s="78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</row>
    <row r="2" spans="2:53" ht="15" x14ac:dyDescent="0.2">
      <c r="B2" s="131" t="s">
        <v>201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78"/>
      <c r="AC2" s="78"/>
      <c r="AD2" s="78"/>
      <c r="AE2" s="78"/>
      <c r="AF2" s="78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</row>
    <row r="3" spans="2:53" ht="15" x14ac:dyDescent="0.2">
      <c r="B3" s="131" t="s">
        <v>82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78"/>
      <c r="AC3" s="78"/>
      <c r="AD3" s="78"/>
      <c r="AE3" s="78"/>
      <c r="AF3" s="78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</row>
    <row r="4" spans="2:53" ht="15" x14ac:dyDescent="0.2">
      <c r="B4" s="127" t="s">
        <v>202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91"/>
      <c r="AC4" s="91"/>
      <c r="AD4" s="91"/>
      <c r="AE4" s="91"/>
      <c r="AF4" s="91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</row>
    <row r="5" spans="2:53" x14ac:dyDescent="0.2">
      <c r="B5" s="134" t="s">
        <v>1</v>
      </c>
      <c r="C5" s="137" t="str">
        <f>CONCATENATE(IF(RIGHT(Parameters!B1,1) = "1","Fall ", "Spring "),IF(RIGHT(Parameters!B1,1) = "1",LEFT(Parameters!B1,4) -4, LEFT(Parameters!B1,4) - 3))</f>
        <v>Fall 2015</v>
      </c>
      <c r="D5" s="137"/>
      <c r="E5" s="137"/>
      <c r="F5" s="137"/>
      <c r="G5" s="137"/>
      <c r="H5" s="137" t="str">
        <f>CONCATENATE(IF(RIGHT(Parameters!B1,1) = "1","Fall ", "Spring "),IF(RIGHT(Parameters!B1,1) = "1",LEFT(Parameters!B1,4) -3, LEFT(Parameters!B1,4) -2 ))</f>
        <v>Fall 2016</v>
      </c>
      <c r="I5" s="137"/>
      <c r="J5" s="137"/>
      <c r="K5" s="137"/>
      <c r="L5" s="137"/>
      <c r="M5" s="137" t="str">
        <f>CONCATENATE(IF(RIGHT(Parameters!B1,1) = "1","Fall ", "Spring "),IF(RIGHT(Parameters!B1,1) = "1",LEFT(Parameters!B1,4) -2, LEFT(Parameters!B1,4) -1 ))</f>
        <v>Fall 2017</v>
      </c>
      <c r="N5" s="137"/>
      <c r="O5" s="137"/>
      <c r="P5" s="137"/>
      <c r="Q5" s="137"/>
      <c r="R5" s="137" t="str">
        <f>CONCATENATE(IF(RIGHT(Parameters!B1,1) = "1","Fall ", "Spring "),IF(RIGHT(Parameters!B1,1) = "1",LEFT(Parameters!B1,4) -1, LEFT(Parameters!B1,4)  ))</f>
        <v>Fall 2018</v>
      </c>
      <c r="S5" s="137"/>
      <c r="T5" s="137"/>
      <c r="U5" s="137"/>
      <c r="V5" s="137"/>
      <c r="W5" s="137" t="str">
        <f>CONCATENATE(IF(RIGHT(Parameters!B1,1) = "1","Fall ", "Spring "),IF(RIGHT(Parameters!B1,1) = "1",LEFT(Parameters!B1,4), LEFT(Parameters!B1,4) + 1))</f>
        <v>Fall 2019</v>
      </c>
      <c r="X5" s="137"/>
      <c r="Y5" s="137"/>
      <c r="Z5" s="137"/>
      <c r="AA5" s="137"/>
      <c r="AB5" s="64"/>
      <c r="AC5" s="64"/>
      <c r="AD5" s="64"/>
      <c r="AE5" s="64"/>
      <c r="AF5" s="64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</row>
    <row r="6" spans="2:53" ht="28.5" customHeight="1" x14ac:dyDescent="0.2">
      <c r="B6" s="135"/>
      <c r="C6" s="54" t="s">
        <v>203</v>
      </c>
      <c r="D6" s="54" t="s">
        <v>204</v>
      </c>
      <c r="E6" s="54" t="s">
        <v>205</v>
      </c>
      <c r="F6" s="54" t="s">
        <v>206</v>
      </c>
      <c r="G6" s="54" t="s">
        <v>207</v>
      </c>
      <c r="H6" s="54" t="s">
        <v>203</v>
      </c>
      <c r="I6" s="54" t="s">
        <v>204</v>
      </c>
      <c r="J6" s="54" t="s">
        <v>205</v>
      </c>
      <c r="K6" s="54" t="s">
        <v>206</v>
      </c>
      <c r="L6" s="54" t="s">
        <v>207</v>
      </c>
      <c r="M6" s="54" t="s">
        <v>203</v>
      </c>
      <c r="N6" s="54" t="s">
        <v>204</v>
      </c>
      <c r="O6" s="54" t="s">
        <v>205</v>
      </c>
      <c r="P6" s="54" t="s">
        <v>206</v>
      </c>
      <c r="Q6" s="54" t="s">
        <v>207</v>
      </c>
      <c r="R6" s="54" t="s">
        <v>203</v>
      </c>
      <c r="S6" s="54" t="s">
        <v>204</v>
      </c>
      <c r="T6" s="54" t="s">
        <v>205</v>
      </c>
      <c r="U6" s="54" t="s">
        <v>206</v>
      </c>
      <c r="V6" s="54" t="s">
        <v>207</v>
      </c>
      <c r="W6" s="54" t="s">
        <v>203</v>
      </c>
      <c r="X6" s="54" t="s">
        <v>204</v>
      </c>
      <c r="Y6" s="54" t="s">
        <v>205</v>
      </c>
      <c r="Z6" s="54" t="s">
        <v>206</v>
      </c>
      <c r="AA6" s="54" t="s">
        <v>207</v>
      </c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</row>
    <row r="7" spans="2:53" ht="15" hidden="1" customHeight="1" x14ac:dyDescent="0.2">
      <c r="B7" s="26" t="s">
        <v>2</v>
      </c>
      <c r="C7" s="26" t="s">
        <v>208</v>
      </c>
      <c r="D7" s="26" t="s">
        <v>209</v>
      </c>
      <c r="E7" s="26" t="s">
        <v>210</v>
      </c>
      <c r="F7" s="26" t="s">
        <v>211</v>
      </c>
      <c r="G7" s="26" t="s">
        <v>212</v>
      </c>
      <c r="H7" s="26" t="s">
        <v>213</v>
      </c>
      <c r="I7" s="26" t="s">
        <v>214</v>
      </c>
      <c r="J7" s="26" t="s">
        <v>215</v>
      </c>
      <c r="K7" s="26" t="s">
        <v>216</v>
      </c>
      <c r="L7" s="26" t="s">
        <v>217</v>
      </c>
      <c r="M7" s="26" t="s">
        <v>218</v>
      </c>
      <c r="N7" s="26" t="s">
        <v>219</v>
      </c>
      <c r="O7" s="26" t="s">
        <v>220</v>
      </c>
      <c r="P7" s="26" t="s">
        <v>221</v>
      </c>
      <c r="Q7" s="26" t="s">
        <v>222</v>
      </c>
      <c r="R7" s="26" t="s">
        <v>223</v>
      </c>
      <c r="S7" s="26" t="s">
        <v>224</v>
      </c>
      <c r="T7" s="26" t="s">
        <v>225</v>
      </c>
      <c r="U7" s="26" t="s">
        <v>226</v>
      </c>
      <c r="V7" s="26" t="s">
        <v>227</v>
      </c>
      <c r="W7" s="26" t="s">
        <v>228</v>
      </c>
      <c r="X7" s="26" t="s">
        <v>229</v>
      </c>
      <c r="Y7" s="26" t="s">
        <v>230</v>
      </c>
      <c r="Z7" s="26" t="s">
        <v>231</v>
      </c>
      <c r="AA7" s="26" t="s">
        <v>232</v>
      </c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</row>
    <row r="8" spans="2:53" x14ac:dyDescent="0.2">
      <c r="B8" s="67" t="s">
        <v>13</v>
      </c>
      <c r="C8" s="92">
        <v>9123</v>
      </c>
      <c r="D8" s="92">
        <v>447</v>
      </c>
      <c r="E8" s="92">
        <v>134</v>
      </c>
      <c r="F8" s="92">
        <v>63</v>
      </c>
      <c r="G8" s="92">
        <v>10</v>
      </c>
      <c r="H8" s="92">
        <v>8966</v>
      </c>
      <c r="I8" s="92">
        <v>466</v>
      </c>
      <c r="J8" s="92">
        <v>145</v>
      </c>
      <c r="K8" s="92">
        <v>67</v>
      </c>
      <c r="L8" s="92">
        <v>14</v>
      </c>
      <c r="M8" s="92">
        <v>8536</v>
      </c>
      <c r="N8" s="92">
        <v>501</v>
      </c>
      <c r="O8" s="92">
        <v>154</v>
      </c>
      <c r="P8" s="92">
        <v>79</v>
      </c>
      <c r="Q8" s="92">
        <v>17</v>
      </c>
      <c r="R8" s="92">
        <v>8182</v>
      </c>
      <c r="S8" s="92">
        <v>500</v>
      </c>
      <c r="T8" s="92">
        <v>128</v>
      </c>
      <c r="U8" s="92">
        <v>91</v>
      </c>
      <c r="V8" s="92">
        <v>23</v>
      </c>
      <c r="W8" s="92">
        <v>7942</v>
      </c>
      <c r="X8" s="92">
        <v>489</v>
      </c>
      <c r="Y8" s="92">
        <v>160</v>
      </c>
      <c r="Z8" s="92">
        <v>81</v>
      </c>
      <c r="AA8" s="92">
        <v>17</v>
      </c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93" t="s">
        <v>233</v>
      </c>
    </row>
    <row r="9" spans="2:53" x14ac:dyDescent="0.2">
      <c r="B9" s="69" t="s">
        <v>14</v>
      </c>
      <c r="C9" s="94">
        <v>5529</v>
      </c>
      <c r="D9" s="94">
        <v>1438</v>
      </c>
      <c r="E9" s="94">
        <v>565</v>
      </c>
      <c r="F9" s="94">
        <v>250</v>
      </c>
      <c r="G9" s="94">
        <v>72</v>
      </c>
      <c r="H9" s="94">
        <v>5153</v>
      </c>
      <c r="I9" s="94">
        <v>1492</v>
      </c>
      <c r="J9" s="94">
        <v>578</v>
      </c>
      <c r="K9" s="94">
        <v>236</v>
      </c>
      <c r="L9" s="94">
        <v>94</v>
      </c>
      <c r="M9" s="94">
        <v>5059</v>
      </c>
      <c r="N9" s="94">
        <v>1555</v>
      </c>
      <c r="O9" s="94">
        <v>691</v>
      </c>
      <c r="P9" s="94">
        <v>347</v>
      </c>
      <c r="Q9" s="94">
        <v>136</v>
      </c>
      <c r="R9" s="94">
        <v>4702</v>
      </c>
      <c r="S9" s="94">
        <v>1444</v>
      </c>
      <c r="T9" s="94">
        <v>688</v>
      </c>
      <c r="U9" s="94">
        <v>333</v>
      </c>
      <c r="V9" s="94">
        <v>145</v>
      </c>
      <c r="W9" s="94">
        <v>4560</v>
      </c>
      <c r="X9" s="94">
        <v>1302</v>
      </c>
      <c r="Y9" s="94">
        <v>572</v>
      </c>
      <c r="Z9" s="94">
        <v>286</v>
      </c>
      <c r="AA9" s="94">
        <v>122</v>
      </c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50" t="s">
        <v>234</v>
      </c>
    </row>
    <row r="10" spans="2:53" x14ac:dyDescent="0.2">
      <c r="B10" s="69" t="s">
        <v>15</v>
      </c>
      <c r="C10" s="94">
        <v>614</v>
      </c>
      <c r="D10" s="94">
        <v>46</v>
      </c>
      <c r="E10" s="94">
        <v>30</v>
      </c>
      <c r="F10" s="94">
        <v>15</v>
      </c>
      <c r="G10" s="94">
        <v>6</v>
      </c>
      <c r="H10" s="94">
        <v>651</v>
      </c>
      <c r="I10" s="94">
        <v>53</v>
      </c>
      <c r="J10" s="94">
        <v>19</v>
      </c>
      <c r="K10" s="94">
        <v>13</v>
      </c>
      <c r="L10" s="94">
        <v>10</v>
      </c>
      <c r="M10" s="94">
        <v>673</v>
      </c>
      <c r="N10" s="94">
        <v>48</v>
      </c>
      <c r="O10" s="94">
        <v>11</v>
      </c>
      <c r="P10" s="94">
        <v>15</v>
      </c>
      <c r="Q10" s="94">
        <v>8</v>
      </c>
      <c r="R10" s="94">
        <v>414</v>
      </c>
      <c r="S10" s="94">
        <v>40</v>
      </c>
      <c r="T10" s="94">
        <v>8</v>
      </c>
      <c r="U10" s="94">
        <v>4</v>
      </c>
      <c r="V10" s="94">
        <v>3</v>
      </c>
      <c r="W10" s="94">
        <v>562</v>
      </c>
      <c r="X10" s="94">
        <v>38</v>
      </c>
      <c r="Y10" s="94">
        <v>7</v>
      </c>
      <c r="Z10" s="94">
        <v>8</v>
      </c>
      <c r="AA10" s="94">
        <v>3</v>
      </c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93" t="s">
        <v>235</v>
      </c>
    </row>
    <row r="11" spans="2:53" x14ac:dyDescent="0.2">
      <c r="B11" s="69" t="s">
        <v>16</v>
      </c>
      <c r="C11" s="94">
        <v>4109</v>
      </c>
      <c r="D11" s="94">
        <v>710</v>
      </c>
      <c r="E11" s="94">
        <v>327</v>
      </c>
      <c r="F11" s="94">
        <v>179</v>
      </c>
      <c r="G11" s="94">
        <v>43</v>
      </c>
      <c r="H11" s="94">
        <v>3874</v>
      </c>
      <c r="I11" s="94">
        <v>763</v>
      </c>
      <c r="J11" s="94">
        <v>362</v>
      </c>
      <c r="K11" s="94">
        <v>181</v>
      </c>
      <c r="L11" s="94">
        <v>44</v>
      </c>
      <c r="M11" s="94">
        <v>3844</v>
      </c>
      <c r="N11" s="94">
        <v>782</v>
      </c>
      <c r="O11" s="94">
        <v>370</v>
      </c>
      <c r="P11" s="94">
        <v>188</v>
      </c>
      <c r="Q11" s="94">
        <v>41</v>
      </c>
      <c r="R11" s="94">
        <v>3508</v>
      </c>
      <c r="S11" s="94">
        <v>775</v>
      </c>
      <c r="T11" s="94">
        <v>373</v>
      </c>
      <c r="U11" s="94">
        <v>168</v>
      </c>
      <c r="V11" s="94">
        <v>45</v>
      </c>
      <c r="W11" s="94">
        <v>3415</v>
      </c>
      <c r="X11" s="94">
        <v>723</v>
      </c>
      <c r="Y11" s="94">
        <v>348</v>
      </c>
      <c r="Z11" s="94">
        <v>168</v>
      </c>
      <c r="AA11" s="94">
        <v>49</v>
      </c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50" t="s">
        <v>236</v>
      </c>
    </row>
    <row r="12" spans="2:53" x14ac:dyDescent="0.2">
      <c r="B12" s="69" t="s">
        <v>17</v>
      </c>
      <c r="C12" s="94">
        <v>5967</v>
      </c>
      <c r="D12" s="94">
        <v>495</v>
      </c>
      <c r="E12" s="94">
        <v>191</v>
      </c>
      <c r="F12" s="94">
        <v>120</v>
      </c>
      <c r="G12" s="94">
        <v>55</v>
      </c>
      <c r="H12" s="94">
        <v>5951</v>
      </c>
      <c r="I12" s="94">
        <v>506</v>
      </c>
      <c r="J12" s="94">
        <v>186</v>
      </c>
      <c r="K12" s="94">
        <v>131</v>
      </c>
      <c r="L12" s="94">
        <v>56</v>
      </c>
      <c r="M12" s="94">
        <v>5852</v>
      </c>
      <c r="N12" s="94">
        <v>545</v>
      </c>
      <c r="O12" s="94">
        <v>189</v>
      </c>
      <c r="P12" s="94">
        <v>113</v>
      </c>
      <c r="Q12" s="94">
        <v>43</v>
      </c>
      <c r="R12" s="94">
        <v>5551</v>
      </c>
      <c r="S12" s="94">
        <v>545</v>
      </c>
      <c r="T12" s="94">
        <v>181</v>
      </c>
      <c r="U12" s="94">
        <v>104</v>
      </c>
      <c r="V12" s="94">
        <v>44</v>
      </c>
      <c r="W12" s="94">
        <v>5310</v>
      </c>
      <c r="X12" s="94">
        <v>550</v>
      </c>
      <c r="Y12" s="94">
        <v>200</v>
      </c>
      <c r="Z12" s="94">
        <v>97</v>
      </c>
      <c r="AA12" s="94">
        <v>57</v>
      </c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93" t="s">
        <v>237</v>
      </c>
    </row>
    <row r="13" spans="2:53" x14ac:dyDescent="0.2">
      <c r="B13" s="69" t="s">
        <v>18</v>
      </c>
      <c r="C13" s="94">
        <v>5055</v>
      </c>
      <c r="D13" s="94">
        <v>936</v>
      </c>
      <c r="E13" s="94">
        <v>376</v>
      </c>
      <c r="F13" s="94">
        <v>144</v>
      </c>
      <c r="G13" s="94">
        <v>39</v>
      </c>
      <c r="H13" s="94">
        <v>4690</v>
      </c>
      <c r="I13" s="94">
        <v>920</v>
      </c>
      <c r="J13" s="94">
        <v>344</v>
      </c>
      <c r="K13" s="94">
        <v>193</v>
      </c>
      <c r="L13" s="94">
        <v>34</v>
      </c>
      <c r="M13" s="94">
        <v>4197</v>
      </c>
      <c r="N13" s="94">
        <v>856</v>
      </c>
      <c r="O13" s="94">
        <v>296</v>
      </c>
      <c r="P13" s="94">
        <v>190</v>
      </c>
      <c r="Q13" s="94">
        <v>36</v>
      </c>
      <c r="R13" s="94">
        <v>3578</v>
      </c>
      <c r="S13" s="94">
        <v>797</v>
      </c>
      <c r="T13" s="94">
        <v>281</v>
      </c>
      <c r="U13" s="94">
        <v>146</v>
      </c>
      <c r="V13" s="94">
        <v>32</v>
      </c>
      <c r="W13" s="94">
        <v>3441</v>
      </c>
      <c r="X13" s="94">
        <v>737</v>
      </c>
      <c r="Y13" s="94">
        <v>306</v>
      </c>
      <c r="Z13" s="94">
        <v>125</v>
      </c>
      <c r="AA13" s="94">
        <v>37</v>
      </c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50" t="s">
        <v>238</v>
      </c>
    </row>
    <row r="14" spans="2:53" x14ac:dyDescent="0.2">
      <c r="B14" s="69" t="s">
        <v>19</v>
      </c>
      <c r="C14" s="94">
        <v>11930</v>
      </c>
      <c r="D14" s="94">
        <v>1271</v>
      </c>
      <c r="E14" s="94">
        <v>483</v>
      </c>
      <c r="F14" s="94">
        <v>275</v>
      </c>
      <c r="G14" s="94">
        <v>76</v>
      </c>
      <c r="H14" s="94">
        <v>11051</v>
      </c>
      <c r="I14" s="94">
        <v>1249</v>
      </c>
      <c r="J14" s="94">
        <v>474</v>
      </c>
      <c r="K14" s="94">
        <v>269</v>
      </c>
      <c r="L14" s="94">
        <v>71</v>
      </c>
      <c r="M14" s="94">
        <v>10500</v>
      </c>
      <c r="N14" s="94">
        <v>1191</v>
      </c>
      <c r="O14" s="94">
        <v>486</v>
      </c>
      <c r="P14" s="94">
        <v>291</v>
      </c>
      <c r="Q14" s="94">
        <v>94</v>
      </c>
      <c r="R14" s="94">
        <v>9631</v>
      </c>
      <c r="S14" s="94">
        <v>1082</v>
      </c>
      <c r="T14" s="94">
        <v>489</v>
      </c>
      <c r="U14" s="94">
        <v>272</v>
      </c>
      <c r="V14" s="94">
        <v>107</v>
      </c>
      <c r="W14" s="94">
        <v>8705</v>
      </c>
      <c r="X14" s="94">
        <v>1016</v>
      </c>
      <c r="Y14" s="94">
        <v>535</v>
      </c>
      <c r="Z14" s="94">
        <v>278</v>
      </c>
      <c r="AA14" s="94">
        <v>102</v>
      </c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93" t="s">
        <v>239</v>
      </c>
    </row>
    <row r="15" spans="2:53" x14ac:dyDescent="0.2">
      <c r="B15" s="69" t="s">
        <v>20</v>
      </c>
      <c r="C15" s="94">
        <v>8187</v>
      </c>
      <c r="D15" s="94">
        <v>568</v>
      </c>
      <c r="E15" s="94">
        <v>143</v>
      </c>
      <c r="F15" s="94">
        <v>82</v>
      </c>
      <c r="G15" s="94">
        <v>20</v>
      </c>
      <c r="H15" s="94">
        <v>7677</v>
      </c>
      <c r="I15" s="94">
        <v>565</v>
      </c>
      <c r="J15" s="94">
        <v>153</v>
      </c>
      <c r="K15" s="94">
        <v>93</v>
      </c>
      <c r="L15" s="94">
        <v>25</v>
      </c>
      <c r="M15" s="94">
        <v>7465</v>
      </c>
      <c r="N15" s="94">
        <v>577</v>
      </c>
      <c r="O15" s="94">
        <v>166</v>
      </c>
      <c r="P15" s="94">
        <v>85</v>
      </c>
      <c r="Q15" s="94">
        <v>36</v>
      </c>
      <c r="R15" s="94">
        <v>7406</v>
      </c>
      <c r="S15" s="94">
        <v>602</v>
      </c>
      <c r="T15" s="94">
        <v>172</v>
      </c>
      <c r="U15" s="94">
        <v>92</v>
      </c>
      <c r="V15" s="94">
        <v>37</v>
      </c>
      <c r="W15" s="94">
        <v>7052</v>
      </c>
      <c r="X15" s="94">
        <v>727</v>
      </c>
      <c r="Y15" s="94">
        <v>250</v>
      </c>
      <c r="Z15" s="94">
        <v>120</v>
      </c>
      <c r="AA15" s="94">
        <v>50</v>
      </c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50" t="s">
        <v>240</v>
      </c>
    </row>
    <row r="16" spans="2:53" x14ac:dyDescent="0.2">
      <c r="B16" s="69" t="s">
        <v>21</v>
      </c>
      <c r="C16" s="94">
        <v>4092</v>
      </c>
      <c r="D16" s="94">
        <v>349</v>
      </c>
      <c r="E16" s="94">
        <v>115</v>
      </c>
      <c r="F16" s="94">
        <v>46</v>
      </c>
      <c r="G16" s="94">
        <v>5</v>
      </c>
      <c r="H16" s="94">
        <v>3754</v>
      </c>
      <c r="I16" s="94">
        <v>315</v>
      </c>
      <c r="J16" s="94">
        <v>98</v>
      </c>
      <c r="K16" s="94">
        <v>46</v>
      </c>
      <c r="L16" s="94">
        <v>7</v>
      </c>
      <c r="M16" s="94">
        <v>3409</v>
      </c>
      <c r="N16" s="94">
        <v>287</v>
      </c>
      <c r="O16" s="94">
        <v>84</v>
      </c>
      <c r="P16" s="94">
        <v>36</v>
      </c>
      <c r="Q16" s="94">
        <v>11</v>
      </c>
      <c r="R16" s="94">
        <v>3020</v>
      </c>
      <c r="S16" s="94">
        <v>273</v>
      </c>
      <c r="T16" s="94">
        <v>94</v>
      </c>
      <c r="U16" s="94">
        <v>33</v>
      </c>
      <c r="V16" s="94">
        <v>5</v>
      </c>
      <c r="W16" s="94">
        <v>2726</v>
      </c>
      <c r="X16" s="94">
        <v>301</v>
      </c>
      <c r="Y16" s="94">
        <v>93</v>
      </c>
      <c r="Z16" s="94">
        <v>39</v>
      </c>
      <c r="AA16" s="94">
        <v>3</v>
      </c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93" t="s">
        <v>241</v>
      </c>
    </row>
    <row r="17" spans="2:53" x14ac:dyDescent="0.2">
      <c r="B17" s="69" t="s">
        <v>22</v>
      </c>
      <c r="C17" s="94">
        <v>2073</v>
      </c>
      <c r="D17" s="94">
        <v>188</v>
      </c>
      <c r="E17" s="94">
        <v>74</v>
      </c>
      <c r="F17" s="94">
        <v>40</v>
      </c>
      <c r="G17" s="94">
        <v>14</v>
      </c>
      <c r="H17" s="94">
        <v>1941</v>
      </c>
      <c r="I17" s="94">
        <v>164</v>
      </c>
      <c r="J17" s="94">
        <v>52</v>
      </c>
      <c r="K17" s="94">
        <v>34</v>
      </c>
      <c r="L17" s="94">
        <v>16</v>
      </c>
      <c r="M17" s="94">
        <v>1686</v>
      </c>
      <c r="N17" s="94">
        <v>151</v>
      </c>
      <c r="O17" s="94">
        <v>36</v>
      </c>
      <c r="P17" s="94">
        <v>29</v>
      </c>
      <c r="Q17" s="94">
        <v>20</v>
      </c>
      <c r="R17" s="94">
        <v>1461</v>
      </c>
      <c r="S17" s="94">
        <v>113</v>
      </c>
      <c r="T17" s="94">
        <v>36</v>
      </c>
      <c r="U17" s="94">
        <v>24</v>
      </c>
      <c r="V17" s="94">
        <v>16</v>
      </c>
      <c r="W17" s="94">
        <v>1505</v>
      </c>
      <c r="X17" s="94">
        <v>108</v>
      </c>
      <c r="Y17" s="94">
        <v>40</v>
      </c>
      <c r="Z17" s="94">
        <v>18</v>
      </c>
      <c r="AA17" s="94">
        <v>12</v>
      </c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50" t="s">
        <v>242</v>
      </c>
    </row>
    <row r="18" spans="2:53" x14ac:dyDescent="0.2">
      <c r="B18" s="69" t="s">
        <v>23</v>
      </c>
      <c r="C18" s="94">
        <v>6799</v>
      </c>
      <c r="D18" s="94">
        <v>762</v>
      </c>
      <c r="E18" s="94">
        <v>266</v>
      </c>
      <c r="F18" s="94">
        <v>119</v>
      </c>
      <c r="G18" s="94">
        <v>42</v>
      </c>
      <c r="H18" s="94">
        <v>6618</v>
      </c>
      <c r="I18" s="94">
        <v>839</v>
      </c>
      <c r="J18" s="94">
        <v>288</v>
      </c>
      <c r="K18" s="94">
        <v>143</v>
      </c>
      <c r="L18" s="94">
        <v>39</v>
      </c>
      <c r="M18" s="94">
        <v>6422</v>
      </c>
      <c r="N18" s="94">
        <v>848</v>
      </c>
      <c r="O18" s="94">
        <v>311</v>
      </c>
      <c r="P18" s="94">
        <v>129</v>
      </c>
      <c r="Q18" s="94">
        <v>38</v>
      </c>
      <c r="R18" s="94">
        <v>6392</v>
      </c>
      <c r="S18" s="94">
        <v>875</v>
      </c>
      <c r="T18" s="94">
        <v>337</v>
      </c>
      <c r="U18" s="94">
        <v>142</v>
      </c>
      <c r="V18" s="94">
        <v>35</v>
      </c>
      <c r="W18" s="94">
        <v>6476</v>
      </c>
      <c r="X18" s="94">
        <v>837</v>
      </c>
      <c r="Y18" s="94">
        <v>322</v>
      </c>
      <c r="Z18" s="94">
        <v>150</v>
      </c>
      <c r="AA18" s="94">
        <v>32</v>
      </c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93" t="s">
        <v>243</v>
      </c>
    </row>
    <row r="19" spans="2:53" x14ac:dyDescent="0.2">
      <c r="B19" s="69" t="s">
        <v>24</v>
      </c>
      <c r="C19" s="94">
        <v>6143</v>
      </c>
      <c r="D19" s="94">
        <v>617</v>
      </c>
      <c r="E19" s="94">
        <v>184</v>
      </c>
      <c r="F19" s="94">
        <v>94</v>
      </c>
      <c r="G19" s="94">
        <v>20</v>
      </c>
      <c r="H19" s="94">
        <v>6019</v>
      </c>
      <c r="I19" s="94">
        <v>647</v>
      </c>
      <c r="J19" s="94">
        <v>191</v>
      </c>
      <c r="K19" s="94">
        <v>99</v>
      </c>
      <c r="L19" s="94">
        <v>33</v>
      </c>
      <c r="M19" s="94">
        <v>5601</v>
      </c>
      <c r="N19" s="94">
        <v>631</v>
      </c>
      <c r="O19" s="94">
        <v>210</v>
      </c>
      <c r="P19" s="94">
        <v>110</v>
      </c>
      <c r="Q19" s="94">
        <v>29</v>
      </c>
      <c r="R19" s="94">
        <v>5493</v>
      </c>
      <c r="S19" s="94">
        <v>546</v>
      </c>
      <c r="T19" s="94">
        <v>227</v>
      </c>
      <c r="U19" s="94">
        <v>110</v>
      </c>
      <c r="V19" s="94">
        <v>32</v>
      </c>
      <c r="W19" s="94">
        <v>5310</v>
      </c>
      <c r="X19" s="94">
        <v>480</v>
      </c>
      <c r="Y19" s="94">
        <v>198</v>
      </c>
      <c r="Z19" s="94">
        <v>86</v>
      </c>
      <c r="AA19" s="94">
        <v>22</v>
      </c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50" t="s">
        <v>244</v>
      </c>
    </row>
    <row r="20" spans="2:53" x14ac:dyDescent="0.2">
      <c r="B20" s="69" t="s">
        <v>25</v>
      </c>
      <c r="C20" s="94">
        <v>7528</v>
      </c>
      <c r="D20" s="94">
        <v>708</v>
      </c>
      <c r="E20" s="94">
        <v>258</v>
      </c>
      <c r="F20" s="94">
        <v>103</v>
      </c>
      <c r="G20" s="94">
        <v>31</v>
      </c>
      <c r="H20" s="94">
        <v>7722</v>
      </c>
      <c r="I20" s="94">
        <v>735</v>
      </c>
      <c r="J20" s="94">
        <v>257</v>
      </c>
      <c r="K20" s="94">
        <v>121</v>
      </c>
      <c r="L20" s="94">
        <v>46</v>
      </c>
      <c r="M20" s="94">
        <v>7743</v>
      </c>
      <c r="N20" s="94">
        <v>757</v>
      </c>
      <c r="O20" s="94">
        <v>241</v>
      </c>
      <c r="P20" s="94">
        <v>116</v>
      </c>
      <c r="Q20" s="94">
        <v>38</v>
      </c>
      <c r="R20" s="94">
        <v>7692</v>
      </c>
      <c r="S20" s="94">
        <v>732</v>
      </c>
      <c r="T20" s="94">
        <v>240</v>
      </c>
      <c r="U20" s="94">
        <v>111</v>
      </c>
      <c r="V20" s="94">
        <v>49</v>
      </c>
      <c r="W20" s="94">
        <v>7673</v>
      </c>
      <c r="X20" s="94">
        <v>707</v>
      </c>
      <c r="Y20" s="94">
        <v>261</v>
      </c>
      <c r="Z20" s="94">
        <v>117</v>
      </c>
      <c r="AA20" s="94">
        <v>48</v>
      </c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93" t="s">
        <v>245</v>
      </c>
    </row>
    <row r="21" spans="2:53" x14ac:dyDescent="0.2">
      <c r="B21" s="71" t="s">
        <v>26</v>
      </c>
      <c r="C21" s="95">
        <v>13963</v>
      </c>
      <c r="D21" s="95">
        <v>1785</v>
      </c>
      <c r="E21" s="95">
        <v>450</v>
      </c>
      <c r="F21" s="95">
        <v>253</v>
      </c>
      <c r="G21" s="95">
        <v>155</v>
      </c>
      <c r="H21" s="95">
        <v>14129</v>
      </c>
      <c r="I21" s="95">
        <v>1888</v>
      </c>
      <c r="J21" s="95">
        <v>518</v>
      </c>
      <c r="K21" s="95">
        <v>292</v>
      </c>
      <c r="L21" s="95">
        <v>179</v>
      </c>
      <c r="M21" s="95">
        <v>14323</v>
      </c>
      <c r="N21" s="95">
        <v>1988</v>
      </c>
      <c r="O21" s="95">
        <v>561</v>
      </c>
      <c r="P21" s="95">
        <v>310</v>
      </c>
      <c r="Q21" s="95">
        <v>154</v>
      </c>
      <c r="R21" s="95">
        <v>14495</v>
      </c>
      <c r="S21" s="95">
        <v>2053</v>
      </c>
      <c r="T21" s="95">
        <v>562</v>
      </c>
      <c r="U21" s="95">
        <v>283</v>
      </c>
      <c r="V21" s="95">
        <v>159</v>
      </c>
      <c r="W21" s="95">
        <v>14638</v>
      </c>
      <c r="X21" s="95">
        <v>1967</v>
      </c>
      <c r="Y21" s="95">
        <v>609</v>
      </c>
      <c r="Z21" s="95">
        <v>308</v>
      </c>
      <c r="AA21" s="95">
        <v>169</v>
      </c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50" t="s">
        <v>246</v>
      </c>
    </row>
    <row r="22" spans="2:53" x14ac:dyDescent="0.2">
      <c r="B22" s="20" t="s">
        <v>27</v>
      </c>
      <c r="C22" s="21">
        <f>SUBTOTAL(109,'Age Trend'!$C$8:$C$21)</f>
        <v>91112</v>
      </c>
      <c r="D22" s="21">
        <f>SUBTOTAL(109,'Age Trend'!$D$8:$D$21)</f>
        <v>10320</v>
      </c>
      <c r="E22" s="21">
        <f>SUBTOTAL(109,'Age Trend'!$E$8:$E$21)</f>
        <v>3596</v>
      </c>
      <c r="F22" s="21">
        <f>SUBTOTAL(109,'Age Trend'!$F$8:$F$21)</f>
        <v>1783</v>
      </c>
      <c r="G22" s="21">
        <f>SUBTOTAL(109,'Age Trend'!$G$8:$G$21)</f>
        <v>588</v>
      </c>
      <c r="H22" s="21">
        <f>SUBTOTAL(109,'Age Trend'!$H$8:$H$21)</f>
        <v>88196</v>
      </c>
      <c r="I22" s="21">
        <f>SUBTOTAL(109,'Age Trend'!$I$8:$I$21)</f>
        <v>10602</v>
      </c>
      <c r="J22" s="21">
        <f>SUBTOTAL(109,'Age Trend'!$J$8:$J$21)</f>
        <v>3665</v>
      </c>
      <c r="K22" s="21">
        <f>SUBTOTAL(109,'Age Trend'!$K$8:$K$21)</f>
        <v>1918</v>
      </c>
      <c r="L22" s="21">
        <f>SUBTOTAL(109,'Age Trend'!$L$8:$L$21)</f>
        <v>668</v>
      </c>
      <c r="M22" s="21">
        <f>SUBTOTAL(109,'Age Trend'!$M$8:$M$21)</f>
        <v>85310</v>
      </c>
      <c r="N22" s="21">
        <f>SUBTOTAL(109,'Age Trend'!$N$8:$N$21)</f>
        <v>10717</v>
      </c>
      <c r="O22" s="21">
        <f>SUBTOTAL(109,'Age Trend'!$O$8:$O$21)</f>
        <v>3806</v>
      </c>
      <c r="P22" s="21">
        <f>SUBTOTAL(109,'Age Trend'!$P$8:$P$21)</f>
        <v>2038</v>
      </c>
      <c r="Q22" s="21">
        <f>SUBTOTAL(109,'Age Trend'!$Q$8:$Q$21)</f>
        <v>701</v>
      </c>
      <c r="R22" s="21">
        <f>SUBTOTAL(109,'Age Trend'!$R$8:$R$21)</f>
        <v>81525</v>
      </c>
      <c r="S22" s="21">
        <f>SUBTOTAL(109,'Age Trend'!$S$8:$S$21)</f>
        <v>10377</v>
      </c>
      <c r="T22" s="21">
        <f>SUBTOTAL(109,'Age Trend'!$T$8:$T$21)</f>
        <v>3816</v>
      </c>
      <c r="U22" s="21">
        <f>SUBTOTAL(109,'Age Trend'!$U$8:$U$21)</f>
        <v>1913</v>
      </c>
      <c r="V22" s="21">
        <f>SUBTOTAL(109,'Age Trend'!$V$8:$V$21)</f>
        <v>732</v>
      </c>
      <c r="W22" s="21">
        <f>SUBTOTAL(109,'Age Trend'!$W$8:$W$21)</f>
        <v>79315</v>
      </c>
      <c r="X22" s="21">
        <f>SUBTOTAL(109,'Age Trend'!$X$8:$X$21)</f>
        <v>9982</v>
      </c>
      <c r="Y22" s="21">
        <f>SUBTOTAL(109,'Age Trend'!$Y$8:$Y$21)</f>
        <v>3901</v>
      </c>
      <c r="Z22" s="21">
        <f>SUBTOTAL(109,'Age Trend'!$Z$8:$Z$21)</f>
        <v>1881</v>
      </c>
      <c r="AA22" s="20">
        <f>SUBTOTAL(109,'Age Trend'!$AA$8:$AA$21)</f>
        <v>723</v>
      </c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93" t="s">
        <v>247</v>
      </c>
    </row>
    <row r="23" spans="2:53" x14ac:dyDescent="0.2"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50" t="s">
        <v>248</v>
      </c>
    </row>
    <row r="24" spans="2:53" x14ac:dyDescent="0.2"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93" t="s">
        <v>249</v>
      </c>
    </row>
    <row r="25" spans="2:53" x14ac:dyDescent="0.2"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50" t="s">
        <v>250</v>
      </c>
    </row>
    <row r="26" spans="2:53" x14ac:dyDescent="0.2"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96" t="s">
        <v>202</v>
      </c>
    </row>
  </sheetData>
  <mergeCells count="10">
    <mergeCell ref="B4:AA4"/>
    <mergeCell ref="B3:AA3"/>
    <mergeCell ref="B2:AA2"/>
    <mergeCell ref="B1:AA1"/>
    <mergeCell ref="W5:AA5"/>
    <mergeCell ref="R5:V5"/>
    <mergeCell ref="M5:Q5"/>
    <mergeCell ref="H5:L5"/>
    <mergeCell ref="C5:G5"/>
    <mergeCell ref="B5:B6"/>
  </mergeCells>
  <dataValidations disablePrompts="1" count="2">
    <dataValidation type="list" allowBlank="1" showInputMessage="1" showErrorMessage="1" sqref="B4 AB4:AF4">
      <formula1>$BA$8:$BA$26</formula1>
    </dataValidation>
    <dataValidation type="list" allowBlank="1" showInputMessage="1" showErrorMessage="1" sqref="B3 AB3:AF3">
      <formula1>"Total Students,UG Undergraduate Students,GR Graduate Students"</formula1>
    </dataValidation>
  </dataValidations>
  <printOptions horizontalCentered="1"/>
  <pageMargins left="0.5" right="0.5" top="1" bottom="0.5" header="0.3" footer="0.3"/>
  <pageSetup paperSize="5" scale="56" fitToHeight="0" orientation="landscape" r:id="rId1"/>
  <headerFooter>
    <oddHeader>&amp;L&amp;"Arial,Regular"&amp;10Pennsylvania's State System of Higher Education | &amp;D
Office of Educational Intelligence | Page &amp;P of &amp;N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B1:AF127"/>
  <sheetViews>
    <sheetView zoomScaleNormal="100" workbookViewId="0">
      <selection activeCell="I129" sqref="I129"/>
    </sheetView>
  </sheetViews>
  <sheetFormatPr defaultRowHeight="14.25" x14ac:dyDescent="0.2"/>
  <cols>
    <col min="1" max="1" width="9.140625" style="5"/>
    <col min="2" max="2" width="19.5703125" style="5" bestFit="1" customWidth="1"/>
    <col min="3" max="3" width="16.42578125" style="5" bestFit="1" customWidth="1"/>
    <col min="4" max="4" width="10.5703125" style="5" bestFit="1" customWidth="1"/>
    <col min="5" max="5" width="11.7109375" style="5" customWidth="1"/>
    <col min="6" max="6" width="16.42578125" style="5" bestFit="1" customWidth="1"/>
    <col min="7" max="7" width="10.5703125" style="5" bestFit="1" customWidth="1"/>
    <col min="8" max="8" width="11.42578125" style="5" customWidth="1"/>
    <col min="9" max="9" width="16.42578125" style="5" bestFit="1" customWidth="1"/>
    <col min="10" max="10" width="10.5703125" style="5" bestFit="1" customWidth="1"/>
    <col min="11" max="11" width="11.5703125" style="5" customWidth="1"/>
    <col min="12" max="12" width="16.42578125" style="5" bestFit="1" customWidth="1"/>
    <col min="13" max="13" width="10.5703125" style="5" bestFit="1" customWidth="1"/>
    <col min="14" max="14" width="11.28515625" style="5" customWidth="1"/>
    <col min="15" max="15" width="16.42578125" style="5" bestFit="1" customWidth="1"/>
    <col min="16" max="16" width="10.5703125" style="5" bestFit="1" customWidth="1"/>
    <col min="17" max="17" width="11.5703125" style="5" customWidth="1"/>
    <col min="18" max="18" width="16.42578125" style="5" bestFit="1" customWidth="1"/>
    <col min="19" max="19" width="10.5703125" style="5" bestFit="1" customWidth="1"/>
    <col min="20" max="20" width="12.140625" style="5" customWidth="1"/>
    <col min="21" max="21" width="16.42578125" style="5" bestFit="1" customWidth="1"/>
    <col min="22" max="22" width="10.5703125" style="5" bestFit="1" customWidth="1"/>
    <col min="23" max="23" width="11.85546875" style="5" customWidth="1"/>
    <col min="24" max="24" width="16.42578125" style="5" bestFit="1" customWidth="1"/>
    <col min="25" max="25" width="10.5703125" style="5" bestFit="1" customWidth="1"/>
    <col min="26" max="26" width="11.42578125" style="5" customWidth="1"/>
    <col min="27" max="27" width="16.42578125" style="5" bestFit="1" customWidth="1"/>
    <col min="28" max="28" width="10.5703125" style="5" bestFit="1" customWidth="1"/>
    <col min="29" max="29" width="11.28515625" style="5" customWidth="1"/>
    <col min="30" max="30" width="16.42578125" style="5" bestFit="1" customWidth="1"/>
    <col min="31" max="32" width="11.7109375" style="5" bestFit="1" customWidth="1"/>
    <col min="33" max="16384" width="9.140625" style="5"/>
  </cols>
  <sheetData>
    <row r="1" spans="2:32" ht="15" x14ac:dyDescent="0.2">
      <c r="B1" s="131" t="s">
        <v>0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</row>
    <row r="2" spans="2:32" ht="15" x14ac:dyDescent="0.2">
      <c r="B2" s="127" t="s">
        <v>251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</row>
    <row r="3" spans="2:32" x14ac:dyDescent="0.2">
      <c r="B3" s="134" t="s">
        <v>1</v>
      </c>
      <c r="C3" s="133" t="str">
        <f>CONCATENATE(IF(RIGHT(Parameters!B1,1) = "1","Fall ", "Spring "),IF(RIGHT(Parameters!B1,1) = "1",LEFT(Parameters!B1,4) -9, LEFT(Parameters!B1,4) - 8))</f>
        <v>Fall 2010</v>
      </c>
      <c r="D3" s="133"/>
      <c r="E3" s="133"/>
      <c r="F3" s="133" t="str">
        <f>CONCATENATE(IF(RIGHT(Parameters!B1,1) = "1","Fall ", "Spring "),IF(RIGHT(Parameters!B1,1) = "1",LEFT(Parameters!B1,4) -8, LEFT(Parameters!B1,4) - 7))</f>
        <v>Fall 2011</v>
      </c>
      <c r="G3" s="133"/>
      <c r="H3" s="133"/>
      <c r="I3" s="133" t="str">
        <f>CONCATENATE(IF(RIGHT(Parameters!B1,1) = "1","Fall ", "Spring "),IF(RIGHT(Parameters!B1,1) = "1",LEFT(Parameters!B1,4) -7, LEFT(Parameters!B1,4) - 6))</f>
        <v>Fall 2012</v>
      </c>
      <c r="J3" s="133"/>
      <c r="K3" s="133"/>
      <c r="L3" s="133" t="str">
        <f>CONCATENATE(IF(RIGHT(Parameters!B1,1) = "1","Fall ", "Spring "),IF(RIGHT(Parameters!B1,1) = "1",LEFT(Parameters!B1,4) -6, LEFT(Parameters!B1,4) - 5))</f>
        <v>Fall 2013</v>
      </c>
      <c r="M3" s="133"/>
      <c r="N3" s="133"/>
      <c r="O3" s="133" t="str">
        <f>CONCATENATE(IF(RIGHT(Parameters!B1,1) = "1","Fall ", "Spring "),IF(RIGHT(Parameters!B1,1) = "1",LEFT(Parameters!B1,4) -5, LEFT(Parameters!B1,4) - 4))</f>
        <v>Fall 2014</v>
      </c>
      <c r="P3" s="133"/>
      <c r="Q3" s="133"/>
      <c r="R3" s="133" t="str">
        <f>CONCATENATE(IF(RIGHT(Parameters!B1,1) = "1","Fall ", "Spring "),IF(RIGHT(Parameters!B1,1) = "1",LEFT(Parameters!B1,4) -4, LEFT(Parameters!B1,4) - 3))</f>
        <v>Fall 2015</v>
      </c>
      <c r="S3" s="133"/>
      <c r="T3" s="133"/>
      <c r="U3" s="133" t="str">
        <f>CONCATENATE(IF(RIGHT(Parameters!B1,1) = "1","Fall ", "Spring "),IF(RIGHT(Parameters!B1,1) = "1",LEFT(Parameters!B1,4) -3, LEFT(Parameters!B1,4) -2 ))</f>
        <v>Fall 2016</v>
      </c>
      <c r="V3" s="133"/>
      <c r="W3" s="133"/>
      <c r="X3" s="133" t="str">
        <f>CONCATENATE(IF(RIGHT(Parameters!B1,1) = "1","Fall ", "Spring "),IF(RIGHT(Parameters!B1,1) = "1",LEFT(Parameters!B1,4) -2, LEFT(Parameters!B1,4) -1 ))</f>
        <v>Fall 2017</v>
      </c>
      <c r="Y3" s="133"/>
      <c r="Z3" s="133"/>
      <c r="AA3" s="133" t="str">
        <f>CONCATENATE(IF(RIGHT(Parameters!B1,1) = "1","Fall ", "Spring "),IF(RIGHT(Parameters!B1,1) = "1",LEFT(Parameters!B1,4) -1, LEFT(Parameters!B1,4)  ))</f>
        <v>Fall 2018</v>
      </c>
      <c r="AB3" s="133"/>
      <c r="AC3" s="133"/>
      <c r="AD3" s="133" t="str">
        <f>CONCATENATE(IF(RIGHT(Parameters!B1,1) = "1","Fall ", "Spring "),IF(RIGHT(Parameters!B1,1) = "1",LEFT(Parameters!B1,4), LEFT(Parameters!B1,4) + 1))</f>
        <v>Fall 2019</v>
      </c>
      <c r="AE3" s="133"/>
      <c r="AF3" s="133"/>
    </row>
    <row r="4" spans="2:32" ht="59.45" customHeight="1" x14ac:dyDescent="0.2">
      <c r="B4" s="135"/>
      <c r="C4" s="54" t="s">
        <v>252</v>
      </c>
      <c r="D4" s="54" t="s">
        <v>82</v>
      </c>
      <c r="E4" s="54" t="s">
        <v>253</v>
      </c>
      <c r="F4" s="54" t="s">
        <v>252</v>
      </c>
      <c r="G4" s="54" t="s">
        <v>82</v>
      </c>
      <c r="H4" s="54" t="s">
        <v>253</v>
      </c>
      <c r="I4" s="54" t="s">
        <v>252</v>
      </c>
      <c r="J4" s="54" t="s">
        <v>82</v>
      </c>
      <c r="K4" s="54" t="s">
        <v>253</v>
      </c>
      <c r="L4" s="54" t="s">
        <v>252</v>
      </c>
      <c r="M4" s="54" t="s">
        <v>82</v>
      </c>
      <c r="N4" s="54" t="s">
        <v>253</v>
      </c>
      <c r="O4" s="54" t="s">
        <v>252</v>
      </c>
      <c r="P4" s="54" t="s">
        <v>82</v>
      </c>
      <c r="Q4" s="54" t="s">
        <v>253</v>
      </c>
      <c r="R4" s="54" t="s">
        <v>252</v>
      </c>
      <c r="S4" s="54" t="s">
        <v>82</v>
      </c>
      <c r="T4" s="54" t="s">
        <v>253</v>
      </c>
      <c r="U4" s="54" t="s">
        <v>252</v>
      </c>
      <c r="V4" s="54" t="s">
        <v>82</v>
      </c>
      <c r="W4" s="54" t="s">
        <v>253</v>
      </c>
      <c r="X4" s="54" t="s">
        <v>252</v>
      </c>
      <c r="Y4" s="54" t="s">
        <v>82</v>
      </c>
      <c r="Z4" s="54" t="s">
        <v>253</v>
      </c>
      <c r="AA4" s="54" t="s">
        <v>252</v>
      </c>
      <c r="AB4" s="54" t="s">
        <v>82</v>
      </c>
      <c r="AC4" s="54" t="s">
        <v>253</v>
      </c>
      <c r="AD4" s="54" t="s">
        <v>252</v>
      </c>
      <c r="AE4" s="54" t="s">
        <v>82</v>
      </c>
      <c r="AF4" s="54" t="s">
        <v>253</v>
      </c>
    </row>
    <row r="5" spans="2:32" ht="14.25" hidden="1" customHeight="1" thickBot="1" x14ac:dyDescent="0.25">
      <c r="B5" s="26" t="s">
        <v>2</v>
      </c>
      <c r="C5" s="26" t="s">
        <v>84</v>
      </c>
      <c r="D5" s="26" t="s">
        <v>85</v>
      </c>
      <c r="E5" s="26" t="s">
        <v>86</v>
      </c>
      <c r="F5" s="26" t="s">
        <v>87</v>
      </c>
      <c r="G5" s="26" t="s">
        <v>88</v>
      </c>
      <c r="H5" s="26" t="s">
        <v>89</v>
      </c>
      <c r="I5" s="26" t="s">
        <v>90</v>
      </c>
      <c r="J5" s="26" t="s">
        <v>91</v>
      </c>
      <c r="K5" s="26" t="s">
        <v>92</v>
      </c>
      <c r="L5" s="26" t="s">
        <v>93</v>
      </c>
      <c r="M5" s="26" t="s">
        <v>94</v>
      </c>
      <c r="N5" s="26" t="s">
        <v>95</v>
      </c>
      <c r="O5" s="26" t="s">
        <v>96</v>
      </c>
      <c r="P5" s="26" t="s">
        <v>97</v>
      </c>
      <c r="Q5" s="26" t="s">
        <v>98</v>
      </c>
      <c r="R5" s="26" t="s">
        <v>99</v>
      </c>
      <c r="S5" s="26" t="s">
        <v>100</v>
      </c>
      <c r="T5" s="26" t="s">
        <v>101</v>
      </c>
      <c r="U5" s="26" t="s">
        <v>102</v>
      </c>
      <c r="V5" s="26" t="s">
        <v>103</v>
      </c>
      <c r="W5" s="26" t="s">
        <v>104</v>
      </c>
      <c r="X5" s="26" t="s">
        <v>105</v>
      </c>
      <c r="Y5" s="26" t="s">
        <v>106</v>
      </c>
      <c r="Z5" s="26" t="s">
        <v>147</v>
      </c>
      <c r="AA5" s="26" t="s">
        <v>108</v>
      </c>
      <c r="AB5" s="26" t="s">
        <v>109</v>
      </c>
      <c r="AC5" s="26" t="s">
        <v>110</v>
      </c>
      <c r="AD5" s="26" t="s">
        <v>111</v>
      </c>
      <c r="AE5" s="26" t="s">
        <v>112</v>
      </c>
      <c r="AF5" s="26" t="s">
        <v>113</v>
      </c>
    </row>
    <row r="6" spans="2:32" x14ac:dyDescent="0.2">
      <c r="B6" s="67" t="s">
        <v>13</v>
      </c>
      <c r="C6" s="57">
        <v>0</v>
      </c>
      <c r="D6" s="57">
        <v>10091</v>
      </c>
      <c r="E6" s="68">
        <v>0</v>
      </c>
      <c r="F6" s="57">
        <v>0</v>
      </c>
      <c r="G6" s="57">
        <v>10159</v>
      </c>
      <c r="H6" s="68">
        <v>0</v>
      </c>
      <c r="I6" s="57">
        <v>0</v>
      </c>
      <c r="J6" s="57">
        <v>9950</v>
      </c>
      <c r="K6" s="68">
        <v>0</v>
      </c>
      <c r="L6" s="57">
        <v>0</v>
      </c>
      <c r="M6" s="57">
        <v>10127</v>
      </c>
      <c r="N6" s="68">
        <v>0</v>
      </c>
      <c r="O6" s="57">
        <v>0</v>
      </c>
      <c r="P6" s="57">
        <v>9998</v>
      </c>
      <c r="Q6" s="68">
        <v>0</v>
      </c>
      <c r="R6" s="57">
        <v>0</v>
      </c>
      <c r="S6" s="57">
        <v>9777</v>
      </c>
      <c r="T6" s="68">
        <v>0</v>
      </c>
      <c r="U6" s="57">
        <v>0</v>
      </c>
      <c r="V6" s="57">
        <v>9658</v>
      </c>
      <c r="W6" s="68">
        <v>0</v>
      </c>
      <c r="X6" s="57">
        <v>0</v>
      </c>
      <c r="Y6" s="57">
        <v>9287</v>
      </c>
      <c r="Z6" s="68">
        <v>0</v>
      </c>
      <c r="AA6" s="57">
        <v>0</v>
      </c>
      <c r="AB6" s="57">
        <v>8924</v>
      </c>
      <c r="AC6" s="68">
        <v>0</v>
      </c>
      <c r="AD6" s="57">
        <v>0</v>
      </c>
      <c r="AE6" s="57">
        <v>8689</v>
      </c>
      <c r="AF6" s="68">
        <v>0</v>
      </c>
    </row>
    <row r="7" spans="2:32" x14ac:dyDescent="0.2">
      <c r="B7" s="69" t="s">
        <v>14</v>
      </c>
      <c r="C7" s="59">
        <v>912</v>
      </c>
      <c r="D7" s="59">
        <v>9400</v>
      </c>
      <c r="E7" s="70">
        <v>9.7020999999999996E-2</v>
      </c>
      <c r="F7" s="59">
        <v>874</v>
      </c>
      <c r="G7" s="59">
        <v>9483</v>
      </c>
      <c r="H7" s="70">
        <v>9.2163999999999996E-2</v>
      </c>
      <c r="I7" s="59">
        <v>687</v>
      </c>
      <c r="J7" s="59">
        <v>8608</v>
      </c>
      <c r="K7" s="70">
        <v>7.9809000000000005E-2</v>
      </c>
      <c r="L7" s="59">
        <v>372</v>
      </c>
      <c r="M7" s="59">
        <v>8243</v>
      </c>
      <c r="N7" s="70">
        <v>4.5129000000000002E-2</v>
      </c>
      <c r="O7" s="59">
        <v>231</v>
      </c>
      <c r="P7" s="59">
        <v>7978</v>
      </c>
      <c r="Q7" s="70">
        <v>2.8954000000000001E-2</v>
      </c>
      <c r="R7" s="59">
        <v>189</v>
      </c>
      <c r="S7" s="59">
        <v>7854</v>
      </c>
      <c r="T7" s="70">
        <v>2.4063999999999999E-2</v>
      </c>
      <c r="U7" s="59">
        <v>195</v>
      </c>
      <c r="V7" s="59">
        <v>7553</v>
      </c>
      <c r="W7" s="70">
        <v>2.5817E-2</v>
      </c>
      <c r="X7" s="59">
        <v>189</v>
      </c>
      <c r="Y7" s="59">
        <v>7788</v>
      </c>
      <c r="Z7" s="70">
        <v>2.4268000000000001E-2</v>
      </c>
      <c r="AA7" s="59">
        <v>185</v>
      </c>
      <c r="AB7" s="59">
        <v>7312</v>
      </c>
      <c r="AC7" s="70">
        <v>2.53E-2</v>
      </c>
      <c r="AD7" s="59">
        <v>209</v>
      </c>
      <c r="AE7" s="59">
        <v>6842</v>
      </c>
      <c r="AF7" s="70">
        <v>3.0546E-2</v>
      </c>
    </row>
    <row r="8" spans="2:32" x14ac:dyDescent="0.2">
      <c r="B8" s="69" t="s">
        <v>15</v>
      </c>
      <c r="C8" s="59">
        <v>0</v>
      </c>
      <c r="D8" s="59">
        <v>1586</v>
      </c>
      <c r="E8" s="70">
        <v>0</v>
      </c>
      <c r="F8" s="59">
        <v>0</v>
      </c>
      <c r="G8" s="59">
        <v>1200</v>
      </c>
      <c r="H8" s="70">
        <v>0</v>
      </c>
      <c r="I8" s="59">
        <v>0</v>
      </c>
      <c r="J8" s="59">
        <v>1284</v>
      </c>
      <c r="K8" s="70">
        <v>0</v>
      </c>
      <c r="L8" s="59">
        <v>0</v>
      </c>
      <c r="M8" s="59">
        <v>1212</v>
      </c>
      <c r="N8" s="70">
        <v>0</v>
      </c>
      <c r="O8" s="59">
        <v>0</v>
      </c>
      <c r="P8" s="59">
        <v>1022</v>
      </c>
      <c r="Q8" s="70">
        <v>0</v>
      </c>
      <c r="R8" s="59">
        <v>0</v>
      </c>
      <c r="S8" s="59">
        <v>711</v>
      </c>
      <c r="T8" s="70">
        <v>0</v>
      </c>
      <c r="U8" s="59">
        <v>0</v>
      </c>
      <c r="V8" s="59">
        <v>746</v>
      </c>
      <c r="W8" s="70">
        <v>0</v>
      </c>
      <c r="X8" s="59">
        <v>0</v>
      </c>
      <c r="Y8" s="59">
        <v>755</v>
      </c>
      <c r="Z8" s="70">
        <v>0</v>
      </c>
      <c r="AA8" s="59">
        <v>0</v>
      </c>
      <c r="AB8" s="59">
        <v>469</v>
      </c>
      <c r="AC8" s="70">
        <v>0</v>
      </c>
      <c r="AD8" s="59">
        <v>0</v>
      </c>
      <c r="AE8" s="59">
        <v>618</v>
      </c>
      <c r="AF8" s="70">
        <v>0</v>
      </c>
    </row>
    <row r="9" spans="2:32" x14ac:dyDescent="0.2">
      <c r="B9" s="69" t="s">
        <v>16</v>
      </c>
      <c r="C9" s="59">
        <v>632</v>
      </c>
      <c r="D9" s="59">
        <v>7315</v>
      </c>
      <c r="E9" s="70">
        <v>8.6397000000000002E-2</v>
      </c>
      <c r="F9" s="59">
        <v>604</v>
      </c>
      <c r="G9" s="59">
        <v>6991</v>
      </c>
      <c r="H9" s="70">
        <v>8.6396000000000001E-2</v>
      </c>
      <c r="I9" s="59">
        <v>582</v>
      </c>
      <c r="J9" s="59">
        <v>6520</v>
      </c>
      <c r="K9" s="70">
        <v>8.9262999999999995E-2</v>
      </c>
      <c r="L9" s="59">
        <v>478</v>
      </c>
      <c r="M9" s="59">
        <v>6080</v>
      </c>
      <c r="N9" s="70">
        <v>7.8617999999999993E-2</v>
      </c>
      <c r="O9" s="59">
        <v>506</v>
      </c>
      <c r="P9" s="59">
        <v>5712</v>
      </c>
      <c r="Q9" s="70">
        <v>8.8584999999999997E-2</v>
      </c>
      <c r="R9" s="59">
        <v>388</v>
      </c>
      <c r="S9" s="59">
        <v>5368</v>
      </c>
      <c r="T9" s="70">
        <v>7.2279999999999997E-2</v>
      </c>
      <c r="U9" s="59">
        <v>362</v>
      </c>
      <c r="V9" s="59">
        <v>5224</v>
      </c>
      <c r="W9" s="70">
        <v>6.9294999999999995E-2</v>
      </c>
      <c r="X9" s="59">
        <v>440</v>
      </c>
      <c r="Y9" s="59">
        <v>5225</v>
      </c>
      <c r="Z9" s="70">
        <v>8.4209999999999993E-2</v>
      </c>
      <c r="AA9" s="59">
        <v>353</v>
      </c>
      <c r="AB9" s="59">
        <v>4869</v>
      </c>
      <c r="AC9" s="70">
        <v>7.2498999999999994E-2</v>
      </c>
      <c r="AD9" s="59">
        <v>258</v>
      </c>
      <c r="AE9" s="59">
        <v>4703</v>
      </c>
      <c r="AF9" s="70">
        <v>5.4857999999999997E-2</v>
      </c>
    </row>
    <row r="10" spans="2:32" x14ac:dyDescent="0.2">
      <c r="B10" s="69" t="s">
        <v>17</v>
      </c>
      <c r="C10" s="59">
        <v>0</v>
      </c>
      <c r="D10" s="59">
        <v>7387</v>
      </c>
      <c r="E10" s="70">
        <v>0</v>
      </c>
      <c r="F10" s="59">
        <v>2</v>
      </c>
      <c r="G10" s="59">
        <v>7353</v>
      </c>
      <c r="H10" s="70">
        <v>2.7099999999999997E-4</v>
      </c>
      <c r="I10" s="59">
        <v>1</v>
      </c>
      <c r="J10" s="59">
        <v>6943</v>
      </c>
      <c r="K10" s="70">
        <v>1.44E-4</v>
      </c>
      <c r="L10" s="59">
        <v>0</v>
      </c>
      <c r="M10" s="59">
        <v>6778</v>
      </c>
      <c r="N10" s="70">
        <v>0</v>
      </c>
      <c r="O10" s="59">
        <v>2</v>
      </c>
      <c r="P10" s="59">
        <v>6820</v>
      </c>
      <c r="Q10" s="70">
        <v>2.9300000000000002E-4</v>
      </c>
      <c r="R10" s="59">
        <v>2</v>
      </c>
      <c r="S10" s="59">
        <v>6828</v>
      </c>
      <c r="T10" s="70">
        <v>2.92E-4</v>
      </c>
      <c r="U10" s="59">
        <v>4</v>
      </c>
      <c r="V10" s="59">
        <v>6830</v>
      </c>
      <c r="W10" s="70">
        <v>5.8500000000000002E-4</v>
      </c>
      <c r="X10" s="59">
        <v>1</v>
      </c>
      <c r="Y10" s="59">
        <v>6742</v>
      </c>
      <c r="Z10" s="70">
        <v>1.4799999999999999E-4</v>
      </c>
      <c r="AA10" s="59">
        <v>0</v>
      </c>
      <c r="AB10" s="59">
        <v>6425</v>
      </c>
      <c r="AC10" s="70">
        <v>0</v>
      </c>
      <c r="AD10" s="59">
        <v>0</v>
      </c>
      <c r="AE10" s="59">
        <v>6214</v>
      </c>
      <c r="AF10" s="70">
        <v>0</v>
      </c>
    </row>
    <row r="11" spans="2:32" x14ac:dyDescent="0.2">
      <c r="B11" s="69" t="s">
        <v>18</v>
      </c>
      <c r="C11" s="59">
        <v>697</v>
      </c>
      <c r="D11" s="59">
        <v>8642</v>
      </c>
      <c r="E11" s="70">
        <v>8.0652000000000001E-2</v>
      </c>
      <c r="F11" s="59">
        <v>639</v>
      </c>
      <c r="G11" s="59">
        <v>8262</v>
      </c>
      <c r="H11" s="70">
        <v>7.7341999999999994E-2</v>
      </c>
      <c r="I11" s="59">
        <v>562</v>
      </c>
      <c r="J11" s="59">
        <v>7462</v>
      </c>
      <c r="K11" s="70">
        <v>7.5314000000000006E-2</v>
      </c>
      <c r="L11" s="59">
        <v>560</v>
      </c>
      <c r="M11" s="59">
        <v>7098</v>
      </c>
      <c r="N11" s="70">
        <v>7.8895000000000007E-2</v>
      </c>
      <c r="O11" s="59">
        <v>564</v>
      </c>
      <c r="P11" s="59">
        <v>6837</v>
      </c>
      <c r="Q11" s="70">
        <v>8.2491999999999996E-2</v>
      </c>
      <c r="R11" s="59">
        <v>542</v>
      </c>
      <c r="S11" s="59">
        <v>6550</v>
      </c>
      <c r="T11" s="70">
        <v>8.2748000000000002E-2</v>
      </c>
      <c r="U11" s="59">
        <v>610</v>
      </c>
      <c r="V11" s="59">
        <v>6181</v>
      </c>
      <c r="W11" s="70">
        <v>9.8688999999999999E-2</v>
      </c>
      <c r="X11" s="59">
        <v>519</v>
      </c>
      <c r="Y11" s="59">
        <v>5575</v>
      </c>
      <c r="Z11" s="70">
        <v>9.3093999999999996E-2</v>
      </c>
      <c r="AA11" s="59">
        <v>319</v>
      </c>
      <c r="AB11" s="59">
        <v>4834</v>
      </c>
      <c r="AC11" s="70">
        <v>6.5989999999999993E-2</v>
      </c>
      <c r="AD11" s="59">
        <v>207</v>
      </c>
      <c r="AE11" s="59">
        <v>4646</v>
      </c>
      <c r="AF11" s="70">
        <v>4.4554000000000003E-2</v>
      </c>
    </row>
    <row r="12" spans="2:32" x14ac:dyDescent="0.2">
      <c r="B12" s="69" t="s">
        <v>19</v>
      </c>
      <c r="C12" s="59">
        <v>57</v>
      </c>
      <c r="D12" s="59">
        <v>15126</v>
      </c>
      <c r="E12" s="70">
        <v>3.7680000000000001E-3</v>
      </c>
      <c r="F12" s="59">
        <v>39</v>
      </c>
      <c r="G12" s="59">
        <v>15132</v>
      </c>
      <c r="H12" s="70">
        <v>2.5769999999999999E-3</v>
      </c>
      <c r="I12" s="59">
        <v>16</v>
      </c>
      <c r="J12" s="59">
        <v>15596</v>
      </c>
      <c r="K12" s="70">
        <v>1.0250000000000001E-3</v>
      </c>
      <c r="L12" s="59">
        <v>11</v>
      </c>
      <c r="M12" s="59">
        <v>14925</v>
      </c>
      <c r="N12" s="70">
        <v>7.3700000000000002E-4</v>
      </c>
      <c r="O12" s="59">
        <v>11</v>
      </c>
      <c r="P12" s="59">
        <v>14571</v>
      </c>
      <c r="Q12" s="70">
        <v>7.54E-4</v>
      </c>
      <c r="R12" s="59">
        <v>4</v>
      </c>
      <c r="S12" s="59">
        <v>14035</v>
      </c>
      <c r="T12" s="70">
        <v>2.8499999999999999E-4</v>
      </c>
      <c r="U12" s="59">
        <v>5</v>
      </c>
      <c r="V12" s="59">
        <v>13114</v>
      </c>
      <c r="W12" s="70">
        <v>3.8099999999999999E-4</v>
      </c>
      <c r="X12" s="59">
        <v>30</v>
      </c>
      <c r="Y12" s="59">
        <v>12562</v>
      </c>
      <c r="Z12" s="70">
        <v>2.3879999999999999E-3</v>
      </c>
      <c r="AA12" s="59">
        <v>28</v>
      </c>
      <c r="AB12" s="59">
        <v>11581</v>
      </c>
      <c r="AC12" s="70">
        <v>2.4169999999999999E-3</v>
      </c>
      <c r="AD12" s="59">
        <v>32</v>
      </c>
      <c r="AE12" s="59">
        <v>10636</v>
      </c>
      <c r="AF12" s="70">
        <v>3.0079999999999998E-3</v>
      </c>
    </row>
    <row r="13" spans="2:32" x14ac:dyDescent="0.2">
      <c r="B13" s="69" t="s">
        <v>20</v>
      </c>
      <c r="C13" s="59">
        <v>0</v>
      </c>
      <c r="D13" s="59">
        <v>10707</v>
      </c>
      <c r="E13" s="70">
        <v>0</v>
      </c>
      <c r="F13" s="59">
        <v>0</v>
      </c>
      <c r="G13" s="59">
        <v>10283</v>
      </c>
      <c r="H13" s="70">
        <v>0</v>
      </c>
      <c r="I13" s="59">
        <v>0</v>
      </c>
      <c r="J13" s="59">
        <v>9804</v>
      </c>
      <c r="K13" s="70">
        <v>0</v>
      </c>
      <c r="L13" s="59">
        <v>0</v>
      </c>
      <c r="M13" s="59">
        <v>9513</v>
      </c>
      <c r="N13" s="70">
        <v>0</v>
      </c>
      <c r="O13" s="59">
        <v>0</v>
      </c>
      <c r="P13" s="59">
        <v>9218</v>
      </c>
      <c r="Q13" s="70">
        <v>0</v>
      </c>
      <c r="R13" s="59">
        <v>0</v>
      </c>
      <c r="S13" s="59">
        <v>9000</v>
      </c>
      <c r="T13" s="70">
        <v>0</v>
      </c>
      <c r="U13" s="59">
        <v>0</v>
      </c>
      <c r="V13" s="59">
        <v>8513</v>
      </c>
      <c r="W13" s="70">
        <v>0</v>
      </c>
      <c r="X13" s="59">
        <v>0</v>
      </c>
      <c r="Y13" s="59">
        <v>8329</v>
      </c>
      <c r="Z13" s="70">
        <v>0</v>
      </c>
      <c r="AA13" s="59">
        <v>0</v>
      </c>
      <c r="AB13" s="59">
        <v>8309</v>
      </c>
      <c r="AC13" s="70">
        <v>0</v>
      </c>
      <c r="AD13" s="59">
        <v>0</v>
      </c>
      <c r="AE13" s="59">
        <v>8199</v>
      </c>
      <c r="AF13" s="70">
        <v>0</v>
      </c>
    </row>
    <row r="14" spans="2:32" x14ac:dyDescent="0.2">
      <c r="B14" s="69" t="s">
        <v>21</v>
      </c>
      <c r="C14" s="59">
        <v>273</v>
      </c>
      <c r="D14" s="59">
        <v>5451</v>
      </c>
      <c r="E14" s="70">
        <v>5.0082000000000002E-2</v>
      </c>
      <c r="F14" s="59">
        <v>244</v>
      </c>
      <c r="G14" s="59">
        <v>5366</v>
      </c>
      <c r="H14" s="70">
        <v>4.5470999999999998E-2</v>
      </c>
      <c r="I14" s="59">
        <v>232</v>
      </c>
      <c r="J14" s="59">
        <v>5328</v>
      </c>
      <c r="K14" s="70">
        <v>4.3542999999999998E-2</v>
      </c>
      <c r="L14" s="59">
        <v>249</v>
      </c>
      <c r="M14" s="59">
        <v>5260</v>
      </c>
      <c r="N14" s="70">
        <v>4.7337999999999998E-2</v>
      </c>
      <c r="O14" s="59">
        <v>242</v>
      </c>
      <c r="P14" s="59">
        <v>4917</v>
      </c>
      <c r="Q14" s="70">
        <v>4.9216999999999997E-2</v>
      </c>
      <c r="R14" s="59">
        <v>223</v>
      </c>
      <c r="S14" s="59">
        <v>4607</v>
      </c>
      <c r="T14" s="70">
        <v>4.8404000000000003E-2</v>
      </c>
      <c r="U14" s="59">
        <v>230</v>
      </c>
      <c r="V14" s="59">
        <v>4220</v>
      </c>
      <c r="W14" s="70">
        <v>5.4502000000000002E-2</v>
      </c>
      <c r="X14" s="59">
        <v>238</v>
      </c>
      <c r="Y14" s="59">
        <v>3827</v>
      </c>
      <c r="Z14" s="70">
        <v>6.2189000000000001E-2</v>
      </c>
      <c r="AA14" s="59">
        <v>223</v>
      </c>
      <c r="AB14" s="59">
        <v>3425</v>
      </c>
      <c r="AC14" s="70">
        <v>6.5109E-2</v>
      </c>
      <c r="AD14" s="59">
        <v>223</v>
      </c>
      <c r="AE14" s="59">
        <v>3162</v>
      </c>
      <c r="AF14" s="70">
        <v>7.0524000000000003E-2</v>
      </c>
    </row>
    <row r="15" spans="2:32" x14ac:dyDescent="0.2">
      <c r="B15" s="69" t="s">
        <v>22</v>
      </c>
      <c r="C15" s="59">
        <v>258</v>
      </c>
      <c r="D15" s="59">
        <v>3411</v>
      </c>
      <c r="E15" s="70">
        <v>7.5636999999999996E-2</v>
      </c>
      <c r="F15" s="59">
        <v>271</v>
      </c>
      <c r="G15" s="59">
        <v>3275</v>
      </c>
      <c r="H15" s="70">
        <v>8.2748000000000002E-2</v>
      </c>
      <c r="I15" s="59">
        <v>247</v>
      </c>
      <c r="J15" s="59">
        <v>3131</v>
      </c>
      <c r="K15" s="70">
        <v>7.8888E-2</v>
      </c>
      <c r="L15" s="59">
        <v>296</v>
      </c>
      <c r="M15" s="59">
        <v>2970</v>
      </c>
      <c r="N15" s="70">
        <v>9.9663000000000002E-2</v>
      </c>
      <c r="O15" s="59">
        <v>311</v>
      </c>
      <c r="P15" s="59">
        <v>2752</v>
      </c>
      <c r="Q15" s="70">
        <v>0.113008</v>
      </c>
      <c r="R15" s="59">
        <v>247</v>
      </c>
      <c r="S15" s="59">
        <v>2389</v>
      </c>
      <c r="T15" s="70">
        <v>0.10339</v>
      </c>
      <c r="U15" s="59">
        <v>214</v>
      </c>
      <c r="V15" s="59">
        <v>2207</v>
      </c>
      <c r="W15" s="70">
        <v>9.6963999999999995E-2</v>
      </c>
      <c r="X15" s="59">
        <v>169</v>
      </c>
      <c r="Y15" s="59">
        <v>1922</v>
      </c>
      <c r="Z15" s="70">
        <v>8.7928999999999993E-2</v>
      </c>
      <c r="AA15" s="59">
        <v>152</v>
      </c>
      <c r="AB15" s="59">
        <v>1650</v>
      </c>
      <c r="AC15" s="70">
        <v>9.2120999999999995E-2</v>
      </c>
      <c r="AD15" s="59">
        <v>186</v>
      </c>
      <c r="AE15" s="59">
        <v>1683</v>
      </c>
      <c r="AF15" s="70">
        <v>0.110516</v>
      </c>
    </row>
    <row r="16" spans="2:32" x14ac:dyDescent="0.2">
      <c r="B16" s="69" t="s">
        <v>23</v>
      </c>
      <c r="C16" s="59">
        <v>27</v>
      </c>
      <c r="D16" s="59">
        <v>8729</v>
      </c>
      <c r="E16" s="70">
        <v>3.0929999999999998E-3</v>
      </c>
      <c r="F16" s="59">
        <v>26</v>
      </c>
      <c r="G16" s="59">
        <v>8725</v>
      </c>
      <c r="H16" s="70">
        <v>2.9789999999999999E-3</v>
      </c>
      <c r="I16" s="59">
        <v>29</v>
      </c>
      <c r="J16" s="59">
        <v>8368</v>
      </c>
      <c r="K16" s="70">
        <v>3.4650000000000002E-3</v>
      </c>
      <c r="L16" s="59">
        <v>20</v>
      </c>
      <c r="M16" s="59">
        <v>8279</v>
      </c>
      <c r="N16" s="70">
        <v>2.415E-3</v>
      </c>
      <c r="O16" s="59">
        <v>33</v>
      </c>
      <c r="P16" s="59">
        <v>8047</v>
      </c>
      <c r="Q16" s="70">
        <v>4.1000000000000003E-3</v>
      </c>
      <c r="R16" s="59">
        <v>33</v>
      </c>
      <c r="S16" s="59">
        <v>7988</v>
      </c>
      <c r="T16" s="70">
        <v>4.1310000000000001E-3</v>
      </c>
      <c r="U16" s="59">
        <v>29</v>
      </c>
      <c r="V16" s="59">
        <v>7927</v>
      </c>
      <c r="W16" s="70">
        <v>3.6579999999999998E-3</v>
      </c>
      <c r="X16" s="59">
        <v>14</v>
      </c>
      <c r="Y16" s="59">
        <v>7748</v>
      </c>
      <c r="Z16" s="70">
        <v>1.8060000000000001E-3</v>
      </c>
      <c r="AA16" s="59">
        <v>12</v>
      </c>
      <c r="AB16" s="59">
        <v>7781</v>
      </c>
      <c r="AC16" s="70">
        <v>1.542E-3</v>
      </c>
      <c r="AD16" s="59">
        <v>10</v>
      </c>
      <c r="AE16" s="59">
        <v>7817</v>
      </c>
      <c r="AF16" s="70">
        <v>1.279E-3</v>
      </c>
    </row>
    <row r="17" spans="2:32" x14ac:dyDescent="0.2">
      <c r="B17" s="69" t="s">
        <v>24</v>
      </c>
      <c r="C17" s="59">
        <v>0</v>
      </c>
      <c r="D17" s="59">
        <v>8326</v>
      </c>
      <c r="E17" s="70">
        <v>0</v>
      </c>
      <c r="F17" s="59">
        <v>0</v>
      </c>
      <c r="G17" s="59">
        <v>8183</v>
      </c>
      <c r="H17" s="70">
        <v>0</v>
      </c>
      <c r="I17" s="59">
        <v>0</v>
      </c>
      <c r="J17" s="59">
        <v>7724</v>
      </c>
      <c r="K17" s="70">
        <v>0</v>
      </c>
      <c r="L17" s="59">
        <v>0</v>
      </c>
      <c r="M17" s="59">
        <v>7548</v>
      </c>
      <c r="N17" s="70">
        <v>0</v>
      </c>
      <c r="O17" s="59">
        <v>0</v>
      </c>
      <c r="P17" s="59">
        <v>7355</v>
      </c>
      <c r="Q17" s="70">
        <v>0</v>
      </c>
      <c r="R17" s="59">
        <v>0</v>
      </c>
      <c r="S17" s="59">
        <v>7058</v>
      </c>
      <c r="T17" s="70">
        <v>0</v>
      </c>
      <c r="U17" s="59">
        <v>0</v>
      </c>
      <c r="V17" s="59">
        <v>6989</v>
      </c>
      <c r="W17" s="70">
        <v>0</v>
      </c>
      <c r="X17" s="59">
        <v>0</v>
      </c>
      <c r="Y17" s="59">
        <v>6581</v>
      </c>
      <c r="Z17" s="70">
        <v>0</v>
      </c>
      <c r="AA17" s="59">
        <v>0</v>
      </c>
      <c r="AB17" s="59">
        <v>6408</v>
      </c>
      <c r="AC17" s="70">
        <v>0</v>
      </c>
      <c r="AD17" s="59">
        <v>0</v>
      </c>
      <c r="AE17" s="59">
        <v>6096</v>
      </c>
      <c r="AF17" s="70">
        <v>0</v>
      </c>
    </row>
    <row r="18" spans="2:32" x14ac:dyDescent="0.2">
      <c r="B18" s="69" t="s">
        <v>25</v>
      </c>
      <c r="C18" s="59">
        <v>0</v>
      </c>
      <c r="D18" s="59">
        <v>8852</v>
      </c>
      <c r="E18" s="70">
        <v>0</v>
      </c>
      <c r="F18" s="59">
        <v>0</v>
      </c>
      <c r="G18" s="59">
        <v>8712</v>
      </c>
      <c r="H18" s="70">
        <v>0</v>
      </c>
      <c r="I18" s="59">
        <v>0</v>
      </c>
      <c r="J18" s="59">
        <v>8559</v>
      </c>
      <c r="K18" s="70">
        <v>0</v>
      </c>
      <c r="L18" s="59">
        <v>0</v>
      </c>
      <c r="M18" s="59">
        <v>8347</v>
      </c>
      <c r="N18" s="70">
        <v>0</v>
      </c>
      <c r="O18" s="59">
        <v>0</v>
      </c>
      <c r="P18" s="59">
        <v>8495</v>
      </c>
      <c r="Q18" s="70">
        <v>0</v>
      </c>
      <c r="R18" s="59">
        <v>0</v>
      </c>
      <c r="S18" s="59">
        <v>8628</v>
      </c>
      <c r="T18" s="70">
        <v>0</v>
      </c>
      <c r="U18" s="59">
        <v>0</v>
      </c>
      <c r="V18" s="59">
        <v>8881</v>
      </c>
      <c r="W18" s="70">
        <v>0</v>
      </c>
      <c r="X18" s="59">
        <v>0</v>
      </c>
      <c r="Y18" s="59">
        <v>8895</v>
      </c>
      <c r="Z18" s="70">
        <v>0</v>
      </c>
      <c r="AA18" s="59">
        <v>0</v>
      </c>
      <c r="AB18" s="59">
        <v>8824</v>
      </c>
      <c r="AC18" s="70">
        <v>0</v>
      </c>
      <c r="AD18" s="59">
        <v>0</v>
      </c>
      <c r="AE18" s="59">
        <v>8806</v>
      </c>
      <c r="AF18" s="70">
        <v>0</v>
      </c>
    </row>
    <row r="19" spans="2:32" x14ac:dyDescent="0.2">
      <c r="B19" s="71" t="s">
        <v>26</v>
      </c>
      <c r="C19" s="62">
        <v>0</v>
      </c>
      <c r="D19" s="62">
        <v>14490</v>
      </c>
      <c r="E19" s="72">
        <v>0</v>
      </c>
      <c r="F19" s="62">
        <v>0</v>
      </c>
      <c r="G19" s="62">
        <v>15100</v>
      </c>
      <c r="H19" s="72">
        <v>0</v>
      </c>
      <c r="I19" s="62">
        <v>0</v>
      </c>
      <c r="J19" s="62">
        <v>15411</v>
      </c>
      <c r="K19" s="72">
        <v>0</v>
      </c>
      <c r="L19" s="62">
        <v>0</v>
      </c>
      <c r="M19" s="62">
        <v>15845</v>
      </c>
      <c r="N19" s="72">
        <v>0</v>
      </c>
      <c r="O19" s="62">
        <v>0</v>
      </c>
      <c r="P19" s="62">
        <v>16086</v>
      </c>
      <c r="Q19" s="72">
        <v>0</v>
      </c>
      <c r="R19" s="62">
        <v>0</v>
      </c>
      <c r="S19" s="62">
        <v>16606</v>
      </c>
      <c r="T19" s="72">
        <v>0</v>
      </c>
      <c r="U19" s="62">
        <v>0</v>
      </c>
      <c r="V19" s="62">
        <v>17006</v>
      </c>
      <c r="W19" s="72">
        <v>0</v>
      </c>
      <c r="X19" s="62">
        <v>0</v>
      </c>
      <c r="Y19" s="62">
        <v>17336</v>
      </c>
      <c r="Z19" s="72">
        <v>0</v>
      </c>
      <c r="AA19" s="62">
        <v>0</v>
      </c>
      <c r="AB19" s="62">
        <v>17552</v>
      </c>
      <c r="AC19" s="72">
        <v>0</v>
      </c>
      <c r="AD19" s="62">
        <v>0</v>
      </c>
      <c r="AE19" s="62">
        <v>17691</v>
      </c>
      <c r="AF19" s="72">
        <v>0</v>
      </c>
    </row>
    <row r="20" spans="2:32" x14ac:dyDescent="0.2">
      <c r="B20" s="20" t="s">
        <v>27</v>
      </c>
      <c r="C20" s="21">
        <f>SUBTOTAL(109,'Enrollment by Program Level'!$C$6:$C$19)</f>
        <v>2856</v>
      </c>
      <c r="D20" s="21">
        <f>SUBTOTAL(109,'Enrollment by Program Level'!$D$6:$D$19)</f>
        <v>119513</v>
      </c>
      <c r="E20" s="22">
        <f>'Enrollment by Program Level'!$C$20/'Enrollment by Program Level'!$D$20</f>
        <v>2.3896981918285039E-2</v>
      </c>
      <c r="F20" s="21">
        <f>SUBTOTAL(109,'Enrollment by Program Level'!$F$6:$F$19)</f>
        <v>2699</v>
      </c>
      <c r="G20" s="21">
        <f>SUBTOTAL(109,'Enrollment by Program Level'!$G$6:$G$19)</f>
        <v>118224</v>
      </c>
      <c r="H20" s="22">
        <f>'Enrollment by Program Level'!$F$20/'Enrollment by Program Level'!$G$20</f>
        <v>2.2829543916632833E-2</v>
      </c>
      <c r="I20" s="21">
        <f>SUBTOTAL(109,'Enrollment by Program Level'!$I$6:$I$19)</f>
        <v>2356</v>
      </c>
      <c r="J20" s="21">
        <f>SUBTOTAL(109,'Enrollment by Program Level'!$J$6:$J$19)</f>
        <v>114688</v>
      </c>
      <c r="K20" s="22">
        <f>'Enrollment by Program Level'!$I$20/'Enrollment by Program Level'!$J$20</f>
        <v>2.0542689732142856E-2</v>
      </c>
      <c r="L20" s="21">
        <f>SUBTOTAL(109,'Enrollment by Program Level'!$L$6:$L$19)</f>
        <v>1986</v>
      </c>
      <c r="M20" s="21">
        <f>SUBTOTAL(109,'Enrollment by Program Level'!$M$6:$M$19)</f>
        <v>112225</v>
      </c>
      <c r="N20" s="22">
        <f>'Enrollment by Program Level'!$L$20/'Enrollment by Program Level'!$M$20</f>
        <v>1.7696591668523057E-2</v>
      </c>
      <c r="O20" s="21">
        <f>SUBTOTAL(109,'Enrollment by Program Level'!$O$6:$O$19)</f>
        <v>1900</v>
      </c>
      <c r="P20" s="21">
        <f>SUBTOTAL(109,'Enrollment by Program Level'!$P$6:$P$19)</f>
        <v>109808</v>
      </c>
      <c r="Q20" s="22">
        <f>'Enrollment by Program Level'!$O$20/'Enrollment by Program Level'!$P$20</f>
        <v>1.7302928748360775E-2</v>
      </c>
      <c r="R20" s="21">
        <f>SUBTOTAL(109,'Enrollment by Program Level'!$R$6:$R$19)</f>
        <v>1628</v>
      </c>
      <c r="S20" s="21">
        <f>SUBTOTAL(109,'Enrollment by Program Level'!$S$6:$S$19)</f>
        <v>107399</v>
      </c>
      <c r="T20" s="22">
        <f>'Enrollment by Program Level'!$R$20/'Enrollment by Program Level'!$S$20</f>
        <v>1.5158427918323262E-2</v>
      </c>
      <c r="U20" s="21">
        <f>SUBTOTAL(109,'Enrollment by Program Level'!$U$6:$U$19)</f>
        <v>1649</v>
      </c>
      <c r="V20" s="21">
        <f>SUBTOTAL(109,'Enrollment by Program Level'!$V$6:$V$19)</f>
        <v>105049</v>
      </c>
      <c r="W20" s="22">
        <f>'Enrollment by Program Level'!$U$20/'Enrollment by Program Level'!$V$20</f>
        <v>1.5697436434425838E-2</v>
      </c>
      <c r="X20" s="21">
        <f>SUBTOTAL(109,'Enrollment by Program Level'!$X$6:$X$19)</f>
        <v>1600</v>
      </c>
      <c r="Y20" s="21">
        <f>SUBTOTAL(109,'Enrollment by Program Level'!$Y$6:$Y$19)</f>
        <v>102572</v>
      </c>
      <c r="Z20" s="22">
        <f>'Enrollment by Program Level'!$X$20/'Enrollment by Program Level'!$Y$20</f>
        <v>1.5598798892485279E-2</v>
      </c>
      <c r="AA20" s="21">
        <f>SUBTOTAL(109,'Enrollment by Program Level'!$AA$6:$AA$19)</f>
        <v>1272</v>
      </c>
      <c r="AB20" s="21">
        <f>SUBTOTAL(109,'Enrollment by Program Level'!$AB$6:$AB$19)</f>
        <v>98363</v>
      </c>
      <c r="AC20" s="22">
        <f>'Enrollment by Program Level'!$AA$20/'Enrollment by Program Level'!$AB$20</f>
        <v>1.2931691794678894E-2</v>
      </c>
      <c r="AD20" s="21">
        <f>SUBTOTAL(109,'Enrollment by Program Level'!$AD$6:$AD$19)</f>
        <v>1125</v>
      </c>
      <c r="AE20" s="21">
        <f>SUBTOTAL(109,'Enrollment by Program Level'!$AE$6:$AE$19)</f>
        <v>95802</v>
      </c>
      <c r="AF20" s="22">
        <f>'Enrollment by Program Level'!$AD$20/'Enrollment by Program Level'!$AE$20</f>
        <v>1.1742969875367947E-2</v>
      </c>
    </row>
    <row r="23" spans="2:32" ht="15" x14ac:dyDescent="0.2">
      <c r="B23" s="127" t="s">
        <v>254</v>
      </c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</row>
    <row r="24" spans="2:32" x14ac:dyDescent="0.2">
      <c r="B24" s="134" t="s">
        <v>1</v>
      </c>
      <c r="C24" s="133" t="str">
        <f>CONCATENATE(IF(RIGHT(Parameters!B1,1) = "1","Fall ", "Spring "),IF(RIGHT(Parameters!B1,1) = "1",LEFT(Parameters!B1,4) -9, LEFT(Parameters!B1,4) - 8))</f>
        <v>Fall 2010</v>
      </c>
      <c r="D24" s="133"/>
      <c r="E24" s="133"/>
      <c r="F24" s="133" t="str">
        <f>CONCATENATE(IF(RIGHT(Parameters!B1,1) = "1","Fall ", "Spring "),IF(RIGHT(Parameters!B1,1) = "1",LEFT(Parameters!B1,4) -8, LEFT(Parameters!B1,4) - 7))</f>
        <v>Fall 2011</v>
      </c>
      <c r="G24" s="133"/>
      <c r="H24" s="133"/>
      <c r="I24" s="133" t="str">
        <f>CONCATENATE(IF(RIGHT(Parameters!B1,1) = "1","Fall ", "Spring "),IF(RIGHT(Parameters!B1,1) = "1",LEFT(Parameters!B1,4) -7, LEFT(Parameters!B1,4) - 6))</f>
        <v>Fall 2012</v>
      </c>
      <c r="J24" s="133"/>
      <c r="K24" s="133"/>
      <c r="L24" s="133" t="str">
        <f>CONCATENATE(IF(RIGHT(Parameters!B1,1) = "1","Fall ", "Spring "),IF(RIGHT(Parameters!B1,1) = "1",LEFT(Parameters!B1,4) -6, LEFT(Parameters!B1,4) - 5))</f>
        <v>Fall 2013</v>
      </c>
      <c r="M24" s="133"/>
      <c r="N24" s="133"/>
      <c r="O24" s="133" t="str">
        <f>CONCATENATE(IF(RIGHT(Parameters!B1,1) = "1","Fall ", "Spring "),IF(RIGHT(Parameters!B1,1) = "1",LEFT(Parameters!B1,4) -5, LEFT(Parameters!B1,4) - 4))</f>
        <v>Fall 2014</v>
      </c>
      <c r="P24" s="133"/>
      <c r="Q24" s="133"/>
      <c r="R24" s="133" t="str">
        <f>CONCATENATE(IF(RIGHT(Parameters!B1,1) = "1","Fall ", "Spring "),IF(RIGHT(Parameters!B1,1) = "1",LEFT(Parameters!B1,4) -4, LEFT(Parameters!B1,4) - 3))</f>
        <v>Fall 2015</v>
      </c>
      <c r="S24" s="133"/>
      <c r="T24" s="133"/>
      <c r="U24" s="133" t="str">
        <f>CONCATENATE(IF(RIGHT(Parameters!B1,1) = "1","Fall ", "Spring "),IF(RIGHT(Parameters!B1,1) = "1",LEFT(Parameters!B1,4) -3, LEFT(Parameters!B1,4) -2 ))</f>
        <v>Fall 2016</v>
      </c>
      <c r="V24" s="133"/>
      <c r="W24" s="133"/>
      <c r="X24" s="133" t="str">
        <f>CONCATENATE(IF(RIGHT(Parameters!B1,1) = "1","Fall ", "Spring "),IF(RIGHT(Parameters!B1,1) = "1",LEFT(Parameters!B1,4) -2, LEFT(Parameters!B1,4) -1 ))</f>
        <v>Fall 2017</v>
      </c>
      <c r="Y24" s="133"/>
      <c r="Z24" s="133"/>
      <c r="AA24" s="133" t="str">
        <f>CONCATENATE(IF(RIGHT(Parameters!B1,1) = "1","Fall ", "Spring "),IF(RIGHT(Parameters!B1,1) = "1",LEFT(Parameters!B1,4) -1, LEFT(Parameters!B1,4)  ))</f>
        <v>Fall 2018</v>
      </c>
      <c r="AB24" s="133"/>
      <c r="AC24" s="133"/>
      <c r="AD24" s="133" t="str">
        <f>CONCATENATE(IF(RIGHT(Parameters!B1,1) = "1","Fall ", "Spring "),IF(RIGHT(Parameters!B1,1) = "1",LEFT(Parameters!B1,4), LEFT(Parameters!B1,4) + 1))</f>
        <v>Fall 2019</v>
      </c>
      <c r="AE24" s="133"/>
      <c r="AF24" s="133"/>
    </row>
    <row r="25" spans="2:32" ht="57" x14ac:dyDescent="0.2">
      <c r="B25" s="135"/>
      <c r="C25" s="54" t="s">
        <v>255</v>
      </c>
      <c r="D25" s="54" t="s">
        <v>82</v>
      </c>
      <c r="E25" s="54" t="s">
        <v>256</v>
      </c>
      <c r="F25" s="54" t="s">
        <v>255</v>
      </c>
      <c r="G25" s="54" t="s">
        <v>82</v>
      </c>
      <c r="H25" s="54" t="s">
        <v>256</v>
      </c>
      <c r="I25" s="54" t="s">
        <v>255</v>
      </c>
      <c r="J25" s="54" t="s">
        <v>82</v>
      </c>
      <c r="K25" s="54" t="s">
        <v>256</v>
      </c>
      <c r="L25" s="54" t="s">
        <v>255</v>
      </c>
      <c r="M25" s="54" t="s">
        <v>82</v>
      </c>
      <c r="N25" s="54" t="s">
        <v>256</v>
      </c>
      <c r="O25" s="54" t="s">
        <v>255</v>
      </c>
      <c r="P25" s="54" t="s">
        <v>82</v>
      </c>
      <c r="Q25" s="54" t="s">
        <v>256</v>
      </c>
      <c r="R25" s="54" t="s">
        <v>255</v>
      </c>
      <c r="S25" s="54" t="s">
        <v>82</v>
      </c>
      <c r="T25" s="54" t="s">
        <v>256</v>
      </c>
      <c r="U25" s="54" t="s">
        <v>255</v>
      </c>
      <c r="V25" s="54" t="s">
        <v>82</v>
      </c>
      <c r="W25" s="54" t="s">
        <v>256</v>
      </c>
      <c r="X25" s="54" t="s">
        <v>255</v>
      </c>
      <c r="Y25" s="54" t="s">
        <v>82</v>
      </c>
      <c r="Z25" s="54" t="s">
        <v>256</v>
      </c>
      <c r="AA25" s="54" t="s">
        <v>255</v>
      </c>
      <c r="AB25" s="54" t="s">
        <v>82</v>
      </c>
      <c r="AC25" s="54" t="s">
        <v>256</v>
      </c>
      <c r="AD25" s="54" t="s">
        <v>255</v>
      </c>
      <c r="AE25" s="54" t="s">
        <v>82</v>
      </c>
      <c r="AF25" s="54" t="s">
        <v>256</v>
      </c>
    </row>
    <row r="26" spans="2:32" ht="17.25" hidden="1" customHeight="1" thickBot="1" x14ac:dyDescent="0.25">
      <c r="B26" s="26" t="s">
        <v>2</v>
      </c>
      <c r="C26" s="26" t="s">
        <v>84</v>
      </c>
      <c r="D26" s="26" t="s">
        <v>85</v>
      </c>
      <c r="E26" s="26" t="s">
        <v>86</v>
      </c>
      <c r="F26" s="26" t="s">
        <v>87</v>
      </c>
      <c r="G26" s="26" t="s">
        <v>88</v>
      </c>
      <c r="H26" s="26" t="s">
        <v>89</v>
      </c>
      <c r="I26" s="26" t="s">
        <v>90</v>
      </c>
      <c r="J26" s="26" t="s">
        <v>91</v>
      </c>
      <c r="K26" s="26" t="s">
        <v>92</v>
      </c>
      <c r="L26" s="26" t="s">
        <v>93</v>
      </c>
      <c r="M26" s="26" t="s">
        <v>94</v>
      </c>
      <c r="N26" s="26" t="s">
        <v>95</v>
      </c>
      <c r="O26" s="26" t="s">
        <v>96</v>
      </c>
      <c r="P26" s="26" t="s">
        <v>97</v>
      </c>
      <c r="Q26" s="26" t="s">
        <v>98</v>
      </c>
      <c r="R26" s="26" t="s">
        <v>99</v>
      </c>
      <c r="S26" s="26" t="s">
        <v>100</v>
      </c>
      <c r="T26" s="26" t="s">
        <v>101</v>
      </c>
      <c r="U26" s="26" t="s">
        <v>102</v>
      </c>
      <c r="V26" s="26" t="s">
        <v>103</v>
      </c>
      <c r="W26" s="26" t="s">
        <v>104</v>
      </c>
      <c r="X26" s="26" t="s">
        <v>105</v>
      </c>
      <c r="Y26" s="26" t="s">
        <v>106</v>
      </c>
      <c r="Z26" s="26" t="s">
        <v>147</v>
      </c>
      <c r="AA26" s="26" t="s">
        <v>108</v>
      </c>
      <c r="AB26" s="26" t="s">
        <v>109</v>
      </c>
      <c r="AC26" s="26" t="s">
        <v>110</v>
      </c>
      <c r="AD26" s="26" t="s">
        <v>111</v>
      </c>
      <c r="AE26" s="26" t="s">
        <v>112</v>
      </c>
      <c r="AF26" s="26" t="s">
        <v>113</v>
      </c>
    </row>
    <row r="27" spans="2:32" x14ac:dyDescent="0.2">
      <c r="B27" s="67" t="s">
        <v>13</v>
      </c>
      <c r="C27" s="57">
        <v>8877</v>
      </c>
      <c r="D27" s="57">
        <v>10091</v>
      </c>
      <c r="E27" s="68">
        <v>0.87969399999999998</v>
      </c>
      <c r="F27" s="57">
        <v>9065</v>
      </c>
      <c r="G27" s="57">
        <v>10159</v>
      </c>
      <c r="H27" s="68">
        <v>0.89231199999999999</v>
      </c>
      <c r="I27" s="57">
        <v>9044</v>
      </c>
      <c r="J27" s="57">
        <v>9950</v>
      </c>
      <c r="K27" s="68">
        <v>0.90894399999999997</v>
      </c>
      <c r="L27" s="57">
        <v>9245</v>
      </c>
      <c r="M27" s="57">
        <v>10127</v>
      </c>
      <c r="N27" s="68">
        <v>0.912906</v>
      </c>
      <c r="O27" s="57">
        <v>9109</v>
      </c>
      <c r="P27" s="57">
        <v>9998</v>
      </c>
      <c r="Q27" s="68">
        <v>0.91108199999999995</v>
      </c>
      <c r="R27" s="57">
        <v>8931</v>
      </c>
      <c r="S27" s="57">
        <v>9777</v>
      </c>
      <c r="T27" s="68">
        <v>0.91347</v>
      </c>
      <c r="U27" s="57">
        <v>8734</v>
      </c>
      <c r="V27" s="57">
        <v>9658</v>
      </c>
      <c r="W27" s="68">
        <v>0.90432800000000002</v>
      </c>
      <c r="X27" s="57">
        <v>8280</v>
      </c>
      <c r="Y27" s="57">
        <v>9287</v>
      </c>
      <c r="Z27" s="68">
        <v>0.89156800000000003</v>
      </c>
      <c r="AA27" s="57">
        <v>7923</v>
      </c>
      <c r="AB27" s="57">
        <v>8924</v>
      </c>
      <c r="AC27" s="68">
        <v>0.88783000000000001</v>
      </c>
      <c r="AD27" s="57">
        <v>7646</v>
      </c>
      <c r="AE27" s="57">
        <v>8689</v>
      </c>
      <c r="AF27" s="68">
        <v>0.87996300000000005</v>
      </c>
    </row>
    <row r="28" spans="2:32" x14ac:dyDescent="0.2">
      <c r="B28" s="69" t="s">
        <v>14</v>
      </c>
      <c r="C28" s="59">
        <v>6425</v>
      </c>
      <c r="D28" s="59">
        <v>9400</v>
      </c>
      <c r="E28" s="70">
        <v>0.68350999999999995</v>
      </c>
      <c r="F28" s="59">
        <v>6467</v>
      </c>
      <c r="G28" s="59">
        <v>9483</v>
      </c>
      <c r="H28" s="70">
        <v>0.68195700000000004</v>
      </c>
      <c r="I28" s="59">
        <v>5946</v>
      </c>
      <c r="J28" s="59">
        <v>8608</v>
      </c>
      <c r="K28" s="70">
        <v>0.69075200000000003</v>
      </c>
      <c r="L28" s="59">
        <v>6013</v>
      </c>
      <c r="M28" s="59">
        <v>8243</v>
      </c>
      <c r="N28" s="70">
        <v>0.72946699999999998</v>
      </c>
      <c r="O28" s="59">
        <v>5785</v>
      </c>
      <c r="P28" s="59">
        <v>7978</v>
      </c>
      <c r="Q28" s="70">
        <v>0.72511899999999996</v>
      </c>
      <c r="R28" s="59">
        <v>5512</v>
      </c>
      <c r="S28" s="59">
        <v>7854</v>
      </c>
      <c r="T28" s="70">
        <v>0.70180699999999996</v>
      </c>
      <c r="U28" s="59">
        <v>5215</v>
      </c>
      <c r="V28" s="59">
        <v>7553</v>
      </c>
      <c r="W28" s="70">
        <v>0.69045400000000001</v>
      </c>
      <c r="X28" s="59">
        <v>5225</v>
      </c>
      <c r="Y28" s="59">
        <v>7788</v>
      </c>
      <c r="Z28" s="70">
        <v>0.67090300000000003</v>
      </c>
      <c r="AA28" s="59">
        <v>4848</v>
      </c>
      <c r="AB28" s="59">
        <v>7312</v>
      </c>
      <c r="AC28" s="70">
        <v>0.66301900000000002</v>
      </c>
      <c r="AD28" s="59">
        <v>4505</v>
      </c>
      <c r="AE28" s="59">
        <v>6842</v>
      </c>
      <c r="AF28" s="70">
        <v>0.65843300000000005</v>
      </c>
    </row>
    <row r="29" spans="2:32" x14ac:dyDescent="0.2">
      <c r="B29" s="69" t="s">
        <v>15</v>
      </c>
      <c r="C29" s="59">
        <v>1443</v>
      </c>
      <c r="D29" s="59">
        <v>1586</v>
      </c>
      <c r="E29" s="70">
        <v>0.90983599999999998</v>
      </c>
      <c r="F29" s="59">
        <v>1102</v>
      </c>
      <c r="G29" s="59">
        <v>1200</v>
      </c>
      <c r="H29" s="70">
        <v>0.91833299999999995</v>
      </c>
      <c r="I29" s="59">
        <v>1210</v>
      </c>
      <c r="J29" s="59">
        <v>1284</v>
      </c>
      <c r="K29" s="70">
        <v>0.94236699999999995</v>
      </c>
      <c r="L29" s="59">
        <v>1178</v>
      </c>
      <c r="M29" s="59">
        <v>1212</v>
      </c>
      <c r="N29" s="70">
        <v>0.97194700000000001</v>
      </c>
      <c r="O29" s="59">
        <v>997</v>
      </c>
      <c r="P29" s="59">
        <v>1022</v>
      </c>
      <c r="Q29" s="70">
        <v>0.97553800000000002</v>
      </c>
      <c r="R29" s="59">
        <v>686</v>
      </c>
      <c r="S29" s="59">
        <v>711</v>
      </c>
      <c r="T29" s="70">
        <v>0.96483799999999997</v>
      </c>
      <c r="U29" s="59">
        <v>708</v>
      </c>
      <c r="V29" s="59">
        <v>746</v>
      </c>
      <c r="W29" s="70">
        <v>0.94906100000000004</v>
      </c>
      <c r="X29" s="59">
        <v>722</v>
      </c>
      <c r="Y29" s="59">
        <v>755</v>
      </c>
      <c r="Z29" s="70">
        <v>0.956291</v>
      </c>
      <c r="AA29" s="59">
        <v>469</v>
      </c>
      <c r="AB29" s="59">
        <v>469</v>
      </c>
      <c r="AC29" s="70">
        <v>1</v>
      </c>
      <c r="AD29" s="59">
        <v>589</v>
      </c>
      <c r="AE29" s="59">
        <v>618</v>
      </c>
      <c r="AF29" s="70">
        <v>0.95307399999999998</v>
      </c>
    </row>
    <row r="30" spans="2:32" x14ac:dyDescent="0.2">
      <c r="B30" s="69" t="s">
        <v>16</v>
      </c>
      <c r="C30" s="59">
        <v>5325</v>
      </c>
      <c r="D30" s="59">
        <v>7315</v>
      </c>
      <c r="E30" s="70">
        <v>0.72795600000000005</v>
      </c>
      <c r="F30" s="59">
        <v>5110</v>
      </c>
      <c r="G30" s="59">
        <v>6991</v>
      </c>
      <c r="H30" s="70">
        <v>0.73093900000000001</v>
      </c>
      <c r="I30" s="59">
        <v>4753</v>
      </c>
      <c r="J30" s="59">
        <v>6520</v>
      </c>
      <c r="K30" s="70">
        <v>0.72898700000000005</v>
      </c>
      <c r="L30" s="59">
        <v>4568</v>
      </c>
      <c r="M30" s="59">
        <v>6080</v>
      </c>
      <c r="N30" s="70">
        <v>0.75131499999999996</v>
      </c>
      <c r="O30" s="59">
        <v>4238</v>
      </c>
      <c r="P30" s="59">
        <v>5712</v>
      </c>
      <c r="Q30" s="70">
        <v>0.74194599999999999</v>
      </c>
      <c r="R30" s="59">
        <v>4013</v>
      </c>
      <c r="S30" s="59">
        <v>5368</v>
      </c>
      <c r="T30" s="70">
        <v>0.74757799999999996</v>
      </c>
      <c r="U30" s="59">
        <v>3889</v>
      </c>
      <c r="V30" s="59">
        <v>5224</v>
      </c>
      <c r="W30" s="70">
        <v>0.744448</v>
      </c>
      <c r="X30" s="59">
        <v>3727</v>
      </c>
      <c r="Y30" s="59">
        <v>5225</v>
      </c>
      <c r="Z30" s="70">
        <v>0.71330099999999996</v>
      </c>
      <c r="AA30" s="59">
        <v>3453</v>
      </c>
      <c r="AB30" s="59">
        <v>4869</v>
      </c>
      <c r="AC30" s="70">
        <v>0.70918000000000003</v>
      </c>
      <c r="AD30" s="59">
        <v>3352</v>
      </c>
      <c r="AE30" s="59">
        <v>4703</v>
      </c>
      <c r="AF30" s="70">
        <v>0.71273600000000004</v>
      </c>
    </row>
    <row r="31" spans="2:32" x14ac:dyDescent="0.2">
      <c r="B31" s="69" t="s">
        <v>17</v>
      </c>
      <c r="C31" s="59">
        <v>6274</v>
      </c>
      <c r="D31" s="59">
        <v>7387</v>
      </c>
      <c r="E31" s="70">
        <v>0.849329</v>
      </c>
      <c r="F31" s="59">
        <v>6608</v>
      </c>
      <c r="G31" s="59">
        <v>7353</v>
      </c>
      <c r="H31" s="70">
        <v>0.89868000000000003</v>
      </c>
      <c r="I31" s="59">
        <v>6288</v>
      </c>
      <c r="J31" s="59">
        <v>6943</v>
      </c>
      <c r="K31" s="70">
        <v>0.90566000000000002</v>
      </c>
      <c r="L31" s="59">
        <v>6109</v>
      </c>
      <c r="M31" s="59">
        <v>6778</v>
      </c>
      <c r="N31" s="70">
        <v>0.90129800000000004</v>
      </c>
      <c r="O31" s="59">
        <v>6124</v>
      </c>
      <c r="P31" s="59">
        <v>6820</v>
      </c>
      <c r="Q31" s="70">
        <v>0.89794700000000005</v>
      </c>
      <c r="R31" s="59">
        <v>6103</v>
      </c>
      <c r="S31" s="59">
        <v>6828</v>
      </c>
      <c r="T31" s="70">
        <v>0.89381900000000003</v>
      </c>
      <c r="U31" s="59">
        <v>6088</v>
      </c>
      <c r="V31" s="59">
        <v>6830</v>
      </c>
      <c r="W31" s="70">
        <v>0.89136099999999996</v>
      </c>
      <c r="X31" s="59">
        <v>5976</v>
      </c>
      <c r="Y31" s="59">
        <v>6742</v>
      </c>
      <c r="Z31" s="70">
        <v>0.88638300000000003</v>
      </c>
      <c r="AA31" s="59">
        <v>5612</v>
      </c>
      <c r="AB31" s="59">
        <v>6425</v>
      </c>
      <c r="AC31" s="70">
        <v>0.87346299999999999</v>
      </c>
      <c r="AD31" s="59">
        <v>5338</v>
      </c>
      <c r="AE31" s="59">
        <v>6214</v>
      </c>
      <c r="AF31" s="70">
        <v>0.85902800000000001</v>
      </c>
    </row>
    <row r="32" spans="2:32" x14ac:dyDescent="0.2">
      <c r="B32" s="69" t="s">
        <v>18</v>
      </c>
      <c r="C32" s="59">
        <v>5890</v>
      </c>
      <c r="D32" s="59">
        <v>8642</v>
      </c>
      <c r="E32" s="70">
        <v>0.68155500000000002</v>
      </c>
      <c r="F32" s="59">
        <v>5914</v>
      </c>
      <c r="G32" s="59">
        <v>8262</v>
      </c>
      <c r="H32" s="70">
        <v>0.71580699999999997</v>
      </c>
      <c r="I32" s="59">
        <v>5430</v>
      </c>
      <c r="J32" s="59">
        <v>7462</v>
      </c>
      <c r="K32" s="70">
        <v>0.72768600000000006</v>
      </c>
      <c r="L32" s="59">
        <v>5196</v>
      </c>
      <c r="M32" s="59">
        <v>7098</v>
      </c>
      <c r="N32" s="70">
        <v>0.73203700000000005</v>
      </c>
      <c r="O32" s="59">
        <v>4928</v>
      </c>
      <c r="P32" s="59">
        <v>6837</v>
      </c>
      <c r="Q32" s="70">
        <v>0.72078299999999995</v>
      </c>
      <c r="R32" s="59">
        <v>4599</v>
      </c>
      <c r="S32" s="59">
        <v>6550</v>
      </c>
      <c r="T32" s="70">
        <v>0.70213700000000001</v>
      </c>
      <c r="U32" s="59">
        <v>4136</v>
      </c>
      <c r="V32" s="59">
        <v>6181</v>
      </c>
      <c r="W32" s="70">
        <v>0.66914700000000005</v>
      </c>
      <c r="X32" s="59">
        <v>3711</v>
      </c>
      <c r="Y32" s="59">
        <v>5575</v>
      </c>
      <c r="Z32" s="70">
        <v>0.66564999999999996</v>
      </c>
      <c r="AA32" s="59">
        <v>3179</v>
      </c>
      <c r="AB32" s="59">
        <v>4834</v>
      </c>
      <c r="AC32" s="70">
        <v>0.65763300000000002</v>
      </c>
      <c r="AD32" s="59">
        <v>3037</v>
      </c>
      <c r="AE32" s="59">
        <v>4646</v>
      </c>
      <c r="AF32" s="70">
        <v>0.65368000000000004</v>
      </c>
    </row>
    <row r="33" spans="2:32" x14ac:dyDescent="0.2">
      <c r="B33" s="69" t="s">
        <v>19</v>
      </c>
      <c r="C33" s="59">
        <v>12376</v>
      </c>
      <c r="D33" s="59">
        <v>15126</v>
      </c>
      <c r="E33" s="70">
        <v>0.81819299999999995</v>
      </c>
      <c r="F33" s="59">
        <v>12621</v>
      </c>
      <c r="G33" s="59">
        <v>15132</v>
      </c>
      <c r="H33" s="70">
        <v>0.83406000000000002</v>
      </c>
      <c r="I33" s="59">
        <v>12674</v>
      </c>
      <c r="J33" s="59">
        <v>15596</v>
      </c>
      <c r="K33" s="70">
        <v>0.81264400000000003</v>
      </c>
      <c r="L33" s="59">
        <v>12097</v>
      </c>
      <c r="M33" s="59">
        <v>14925</v>
      </c>
      <c r="N33" s="70">
        <v>0.81051899999999999</v>
      </c>
      <c r="O33" s="59">
        <v>11763</v>
      </c>
      <c r="P33" s="59">
        <v>14571</v>
      </c>
      <c r="Q33" s="70">
        <v>0.80728800000000001</v>
      </c>
      <c r="R33" s="59">
        <v>11158</v>
      </c>
      <c r="S33" s="59">
        <v>14035</v>
      </c>
      <c r="T33" s="70">
        <v>0.79501200000000005</v>
      </c>
      <c r="U33" s="59">
        <v>10309</v>
      </c>
      <c r="V33" s="59">
        <v>13114</v>
      </c>
      <c r="W33" s="70">
        <v>0.78610599999999997</v>
      </c>
      <c r="X33" s="59">
        <v>9776</v>
      </c>
      <c r="Y33" s="59">
        <v>12562</v>
      </c>
      <c r="Z33" s="70">
        <v>0.77822000000000002</v>
      </c>
      <c r="AA33" s="59">
        <v>8800</v>
      </c>
      <c r="AB33" s="59">
        <v>11581</v>
      </c>
      <c r="AC33" s="70">
        <v>0.75986500000000001</v>
      </c>
      <c r="AD33" s="59">
        <v>7970</v>
      </c>
      <c r="AE33" s="59">
        <v>10636</v>
      </c>
      <c r="AF33" s="70">
        <v>0.74934100000000003</v>
      </c>
    </row>
    <row r="34" spans="2:32" x14ac:dyDescent="0.2">
      <c r="B34" s="69" t="s">
        <v>20</v>
      </c>
      <c r="C34" s="59">
        <v>9325</v>
      </c>
      <c r="D34" s="59">
        <v>10707</v>
      </c>
      <c r="E34" s="70">
        <v>0.87092499999999995</v>
      </c>
      <c r="F34" s="59">
        <v>9145</v>
      </c>
      <c r="G34" s="59">
        <v>10283</v>
      </c>
      <c r="H34" s="70">
        <v>0.88933099999999998</v>
      </c>
      <c r="I34" s="59">
        <v>8916</v>
      </c>
      <c r="J34" s="59">
        <v>9804</v>
      </c>
      <c r="K34" s="70">
        <v>0.90942400000000001</v>
      </c>
      <c r="L34" s="59">
        <v>8538</v>
      </c>
      <c r="M34" s="59">
        <v>9513</v>
      </c>
      <c r="N34" s="70">
        <v>0.89750799999999997</v>
      </c>
      <c r="O34" s="59">
        <v>8516</v>
      </c>
      <c r="P34" s="59">
        <v>9218</v>
      </c>
      <c r="Q34" s="70">
        <v>0.923844</v>
      </c>
      <c r="R34" s="59">
        <v>8249</v>
      </c>
      <c r="S34" s="59">
        <v>9000</v>
      </c>
      <c r="T34" s="70">
        <v>0.91655500000000001</v>
      </c>
      <c r="U34" s="59">
        <v>7683</v>
      </c>
      <c r="V34" s="59">
        <v>8513</v>
      </c>
      <c r="W34" s="70">
        <v>0.90250200000000003</v>
      </c>
      <c r="X34" s="59">
        <v>7443</v>
      </c>
      <c r="Y34" s="59">
        <v>8329</v>
      </c>
      <c r="Z34" s="70">
        <v>0.89362399999999997</v>
      </c>
      <c r="AA34" s="59">
        <v>7354</v>
      </c>
      <c r="AB34" s="59">
        <v>8309</v>
      </c>
      <c r="AC34" s="70">
        <v>0.88506399999999996</v>
      </c>
      <c r="AD34" s="59">
        <v>6862</v>
      </c>
      <c r="AE34" s="59">
        <v>8199</v>
      </c>
      <c r="AF34" s="70">
        <v>0.83693099999999998</v>
      </c>
    </row>
    <row r="35" spans="2:32" x14ac:dyDescent="0.2">
      <c r="B35" s="69" t="s">
        <v>21</v>
      </c>
      <c r="C35" s="59">
        <v>4701</v>
      </c>
      <c r="D35" s="59">
        <v>5451</v>
      </c>
      <c r="E35" s="70">
        <v>0.86241000000000001</v>
      </c>
      <c r="F35" s="59">
        <v>4673</v>
      </c>
      <c r="G35" s="59">
        <v>5366</v>
      </c>
      <c r="H35" s="70">
        <v>0.87085299999999999</v>
      </c>
      <c r="I35" s="59">
        <v>4645</v>
      </c>
      <c r="J35" s="59">
        <v>5328</v>
      </c>
      <c r="K35" s="70">
        <v>0.87180899999999995</v>
      </c>
      <c r="L35" s="59">
        <v>4534</v>
      </c>
      <c r="M35" s="59">
        <v>5260</v>
      </c>
      <c r="N35" s="70">
        <v>0.86197699999999999</v>
      </c>
      <c r="O35" s="59">
        <v>4206</v>
      </c>
      <c r="P35" s="59">
        <v>4917</v>
      </c>
      <c r="Q35" s="70">
        <v>0.85539900000000002</v>
      </c>
      <c r="R35" s="59">
        <v>3935</v>
      </c>
      <c r="S35" s="59">
        <v>4607</v>
      </c>
      <c r="T35" s="70">
        <v>0.85413499999999998</v>
      </c>
      <c r="U35" s="59">
        <v>3556</v>
      </c>
      <c r="V35" s="59">
        <v>4220</v>
      </c>
      <c r="W35" s="70">
        <v>0.84265400000000001</v>
      </c>
      <c r="X35" s="59">
        <v>3187</v>
      </c>
      <c r="Y35" s="59">
        <v>3827</v>
      </c>
      <c r="Z35" s="70">
        <v>0.83276700000000003</v>
      </c>
      <c r="AA35" s="59">
        <v>2804</v>
      </c>
      <c r="AB35" s="59">
        <v>3425</v>
      </c>
      <c r="AC35" s="70">
        <v>0.81868600000000002</v>
      </c>
      <c r="AD35" s="59">
        <v>2465</v>
      </c>
      <c r="AE35" s="59">
        <v>3162</v>
      </c>
      <c r="AF35" s="70">
        <v>0.77956899999999996</v>
      </c>
    </row>
    <row r="36" spans="2:32" x14ac:dyDescent="0.2">
      <c r="B36" s="69" t="s">
        <v>22</v>
      </c>
      <c r="C36" s="59">
        <v>2629</v>
      </c>
      <c r="D36" s="59">
        <v>3411</v>
      </c>
      <c r="E36" s="70">
        <v>0.77074100000000001</v>
      </c>
      <c r="F36" s="59">
        <v>2548</v>
      </c>
      <c r="G36" s="59">
        <v>3275</v>
      </c>
      <c r="H36" s="70">
        <v>0.77801500000000001</v>
      </c>
      <c r="I36" s="59">
        <v>2496</v>
      </c>
      <c r="J36" s="59">
        <v>3131</v>
      </c>
      <c r="K36" s="70">
        <v>0.79718900000000004</v>
      </c>
      <c r="L36" s="59">
        <v>2344</v>
      </c>
      <c r="M36" s="59">
        <v>2970</v>
      </c>
      <c r="N36" s="70">
        <v>0.78922499999999995</v>
      </c>
      <c r="O36" s="59">
        <v>2207</v>
      </c>
      <c r="P36" s="59">
        <v>2752</v>
      </c>
      <c r="Q36" s="70">
        <v>0.80196199999999995</v>
      </c>
      <c r="R36" s="59">
        <v>1947</v>
      </c>
      <c r="S36" s="59">
        <v>2389</v>
      </c>
      <c r="T36" s="70">
        <v>0.81498499999999996</v>
      </c>
      <c r="U36" s="59">
        <v>1836</v>
      </c>
      <c r="V36" s="59">
        <v>2207</v>
      </c>
      <c r="W36" s="70">
        <v>0.83189800000000003</v>
      </c>
      <c r="X36" s="59">
        <v>1602</v>
      </c>
      <c r="Y36" s="59">
        <v>1922</v>
      </c>
      <c r="Z36" s="70">
        <v>0.83350599999999997</v>
      </c>
      <c r="AA36" s="59">
        <v>1400</v>
      </c>
      <c r="AB36" s="59">
        <v>1650</v>
      </c>
      <c r="AC36" s="70">
        <v>0.84848400000000002</v>
      </c>
      <c r="AD36" s="59">
        <v>1379</v>
      </c>
      <c r="AE36" s="59">
        <v>1683</v>
      </c>
      <c r="AF36" s="70">
        <v>0.81937000000000004</v>
      </c>
    </row>
    <row r="37" spans="2:32" x14ac:dyDescent="0.2">
      <c r="B37" s="69" t="s">
        <v>23</v>
      </c>
      <c r="C37" s="59">
        <v>7471</v>
      </c>
      <c r="D37" s="59">
        <v>8729</v>
      </c>
      <c r="E37" s="70">
        <v>0.85588200000000003</v>
      </c>
      <c r="F37" s="59">
        <v>7510</v>
      </c>
      <c r="G37" s="59">
        <v>8725</v>
      </c>
      <c r="H37" s="70">
        <v>0.86074399999999995</v>
      </c>
      <c r="I37" s="59">
        <v>7296</v>
      </c>
      <c r="J37" s="59">
        <v>8368</v>
      </c>
      <c r="K37" s="70">
        <v>0.871892</v>
      </c>
      <c r="L37" s="59">
        <v>7293</v>
      </c>
      <c r="M37" s="59">
        <v>8279</v>
      </c>
      <c r="N37" s="70">
        <v>0.88090299999999999</v>
      </c>
      <c r="O37" s="59">
        <v>7037</v>
      </c>
      <c r="P37" s="59">
        <v>8047</v>
      </c>
      <c r="Q37" s="70">
        <v>0.87448700000000001</v>
      </c>
      <c r="R37" s="59">
        <v>6948</v>
      </c>
      <c r="S37" s="59">
        <v>7988</v>
      </c>
      <c r="T37" s="70">
        <v>0.86980400000000002</v>
      </c>
      <c r="U37" s="59">
        <v>6850</v>
      </c>
      <c r="V37" s="59">
        <v>7927</v>
      </c>
      <c r="W37" s="70">
        <v>0.86413499999999999</v>
      </c>
      <c r="X37" s="59">
        <v>6619</v>
      </c>
      <c r="Y37" s="59">
        <v>7748</v>
      </c>
      <c r="Z37" s="70">
        <v>0.85428400000000004</v>
      </c>
      <c r="AA37" s="59">
        <v>6612</v>
      </c>
      <c r="AB37" s="59">
        <v>7781</v>
      </c>
      <c r="AC37" s="70">
        <v>0.84976200000000002</v>
      </c>
      <c r="AD37" s="59">
        <v>6619</v>
      </c>
      <c r="AE37" s="59">
        <v>7817</v>
      </c>
      <c r="AF37" s="70">
        <v>0.84674400000000005</v>
      </c>
    </row>
    <row r="38" spans="2:32" x14ac:dyDescent="0.2">
      <c r="B38" s="69" t="s">
        <v>24</v>
      </c>
      <c r="C38" s="59">
        <v>7047</v>
      </c>
      <c r="D38" s="59">
        <v>8326</v>
      </c>
      <c r="E38" s="70">
        <v>0.84638400000000003</v>
      </c>
      <c r="F38" s="59">
        <v>7066</v>
      </c>
      <c r="G38" s="59">
        <v>8183</v>
      </c>
      <c r="H38" s="70">
        <v>0.86349699999999996</v>
      </c>
      <c r="I38" s="59">
        <v>6654</v>
      </c>
      <c r="J38" s="59">
        <v>7724</v>
      </c>
      <c r="K38" s="70">
        <v>0.86146999999999996</v>
      </c>
      <c r="L38" s="59">
        <v>6493</v>
      </c>
      <c r="M38" s="59">
        <v>7548</v>
      </c>
      <c r="N38" s="70">
        <v>0.86022699999999996</v>
      </c>
      <c r="O38" s="59">
        <v>6246</v>
      </c>
      <c r="P38" s="59">
        <v>7355</v>
      </c>
      <c r="Q38" s="70">
        <v>0.84921800000000003</v>
      </c>
      <c r="R38" s="59">
        <v>5963</v>
      </c>
      <c r="S38" s="59">
        <v>7058</v>
      </c>
      <c r="T38" s="70">
        <v>0.84485600000000005</v>
      </c>
      <c r="U38" s="59">
        <v>5853</v>
      </c>
      <c r="V38" s="59">
        <v>6989</v>
      </c>
      <c r="W38" s="70">
        <v>0.83745800000000004</v>
      </c>
      <c r="X38" s="59">
        <v>5475</v>
      </c>
      <c r="Y38" s="59">
        <v>6581</v>
      </c>
      <c r="Z38" s="70">
        <v>0.83194000000000001</v>
      </c>
      <c r="AA38" s="59">
        <v>5357</v>
      </c>
      <c r="AB38" s="59">
        <v>6408</v>
      </c>
      <c r="AC38" s="70">
        <v>0.83598600000000001</v>
      </c>
      <c r="AD38" s="59">
        <v>5130</v>
      </c>
      <c r="AE38" s="59">
        <v>6096</v>
      </c>
      <c r="AF38" s="70">
        <v>0.84153500000000003</v>
      </c>
    </row>
    <row r="39" spans="2:32" x14ac:dyDescent="0.2">
      <c r="B39" s="69" t="s">
        <v>25</v>
      </c>
      <c r="C39" s="59">
        <v>7891</v>
      </c>
      <c r="D39" s="59">
        <v>8852</v>
      </c>
      <c r="E39" s="70">
        <v>0.89143600000000001</v>
      </c>
      <c r="F39" s="59">
        <v>7881</v>
      </c>
      <c r="G39" s="59">
        <v>8712</v>
      </c>
      <c r="H39" s="70">
        <v>0.90461400000000003</v>
      </c>
      <c r="I39" s="59">
        <v>7769</v>
      </c>
      <c r="J39" s="59">
        <v>8559</v>
      </c>
      <c r="K39" s="70">
        <v>0.90769900000000003</v>
      </c>
      <c r="L39" s="59">
        <v>7540</v>
      </c>
      <c r="M39" s="59">
        <v>8347</v>
      </c>
      <c r="N39" s="70">
        <v>0.90331799999999995</v>
      </c>
      <c r="O39" s="59">
        <v>7526</v>
      </c>
      <c r="P39" s="59">
        <v>8495</v>
      </c>
      <c r="Q39" s="70">
        <v>0.88593200000000005</v>
      </c>
      <c r="R39" s="59">
        <v>7471</v>
      </c>
      <c r="S39" s="59">
        <v>8628</v>
      </c>
      <c r="T39" s="70">
        <v>0.86590100000000003</v>
      </c>
      <c r="U39" s="59">
        <v>7569</v>
      </c>
      <c r="V39" s="59">
        <v>8881</v>
      </c>
      <c r="W39" s="70">
        <v>0.85226800000000003</v>
      </c>
      <c r="X39" s="59">
        <v>7567</v>
      </c>
      <c r="Y39" s="59">
        <v>8895</v>
      </c>
      <c r="Z39" s="70">
        <v>0.85070199999999996</v>
      </c>
      <c r="AA39" s="59">
        <v>7454</v>
      </c>
      <c r="AB39" s="59">
        <v>8824</v>
      </c>
      <c r="AC39" s="70">
        <v>0.84474099999999996</v>
      </c>
      <c r="AD39" s="59">
        <v>7394</v>
      </c>
      <c r="AE39" s="59">
        <v>8806</v>
      </c>
      <c r="AF39" s="70">
        <v>0.83965400000000001</v>
      </c>
    </row>
    <row r="40" spans="2:32" x14ac:dyDescent="0.2">
      <c r="B40" s="71" t="s">
        <v>26</v>
      </c>
      <c r="C40" s="62">
        <v>11873</v>
      </c>
      <c r="D40" s="62">
        <v>14490</v>
      </c>
      <c r="E40" s="72">
        <v>0.81939200000000001</v>
      </c>
      <c r="F40" s="62">
        <v>12521</v>
      </c>
      <c r="G40" s="62">
        <v>15100</v>
      </c>
      <c r="H40" s="72">
        <v>0.82920499999999997</v>
      </c>
      <c r="I40" s="62">
        <v>13053</v>
      </c>
      <c r="J40" s="62">
        <v>15411</v>
      </c>
      <c r="K40" s="72">
        <v>0.84699199999999997</v>
      </c>
      <c r="L40" s="62">
        <v>13456</v>
      </c>
      <c r="M40" s="62">
        <v>15845</v>
      </c>
      <c r="N40" s="72">
        <v>0.84922600000000004</v>
      </c>
      <c r="O40" s="62">
        <v>13610</v>
      </c>
      <c r="P40" s="62">
        <v>16086</v>
      </c>
      <c r="Q40" s="72">
        <v>0.84607699999999997</v>
      </c>
      <c r="R40" s="62">
        <v>13956</v>
      </c>
      <c r="S40" s="62">
        <v>16606</v>
      </c>
      <c r="T40" s="72">
        <v>0.84041900000000003</v>
      </c>
      <c r="U40" s="62">
        <v>14123</v>
      </c>
      <c r="V40" s="62">
        <v>17006</v>
      </c>
      <c r="W40" s="72">
        <v>0.83047099999999996</v>
      </c>
      <c r="X40" s="62">
        <v>14230</v>
      </c>
      <c r="Y40" s="62">
        <v>17336</v>
      </c>
      <c r="Z40" s="72">
        <v>0.82083499999999998</v>
      </c>
      <c r="AA40" s="62">
        <v>14260</v>
      </c>
      <c r="AB40" s="62">
        <v>17552</v>
      </c>
      <c r="AC40" s="72">
        <v>0.81244300000000003</v>
      </c>
      <c r="AD40" s="62">
        <v>14350</v>
      </c>
      <c r="AE40" s="62">
        <v>17691</v>
      </c>
      <c r="AF40" s="72">
        <v>0.81114600000000003</v>
      </c>
    </row>
    <row r="41" spans="2:32" x14ac:dyDescent="0.2">
      <c r="B41" s="20" t="s">
        <v>27</v>
      </c>
      <c r="C41" s="21">
        <f>SUBTOTAL(109,'Enrollment by Program Level'!$C$27:$C$40)</f>
        <v>97547</v>
      </c>
      <c r="D41" s="21">
        <f>SUBTOTAL(109,'Enrollment by Program Level'!$D$27:$D$40)</f>
        <v>119513</v>
      </c>
      <c r="E41" s="22">
        <f>'Enrollment by Program Level'!$C$41/'Enrollment by Program Level'!$D$41</f>
        <v>0.81620409495201363</v>
      </c>
      <c r="F41" s="21">
        <f>SUBTOTAL(109,'Enrollment by Program Level'!$F$27:$F$40)</f>
        <v>98231</v>
      </c>
      <c r="G41" s="21">
        <f>SUBTOTAL(109,'Enrollment by Program Level'!$G$27:$G$40)</f>
        <v>118224</v>
      </c>
      <c r="H41" s="22">
        <f>'Enrollment by Program Level'!$F$41/'Enrollment by Program Level'!$G$41</f>
        <v>0.83088882122073349</v>
      </c>
      <c r="I41" s="21">
        <f>SUBTOTAL(109,'Enrollment by Program Level'!$I$27:$I$40)</f>
        <v>96174</v>
      </c>
      <c r="J41" s="21">
        <f>SUBTOTAL(109,'Enrollment by Program Level'!$J$27:$J$40)</f>
        <v>114688</v>
      </c>
      <c r="K41" s="22">
        <f>'Enrollment by Program Level'!$I$41/'Enrollment by Program Level'!$J$41</f>
        <v>0.8385707310267857</v>
      </c>
      <c r="L41" s="21">
        <f>SUBTOTAL(109,'Enrollment by Program Level'!$L$27:$L$40)</f>
        <v>94604</v>
      </c>
      <c r="M41" s="21">
        <f>SUBTOTAL(109,'Enrollment by Program Level'!$M$27:$M$40)</f>
        <v>112225</v>
      </c>
      <c r="N41" s="22">
        <f>'Enrollment by Program Level'!$L$41/'Enrollment by Program Level'!$M$41</f>
        <v>0.84298507462686567</v>
      </c>
      <c r="O41" s="21">
        <f>SUBTOTAL(109,'Enrollment by Program Level'!$O$27:$O$40)</f>
        <v>92292</v>
      </c>
      <c r="P41" s="21">
        <f>SUBTOTAL(109,'Enrollment by Program Level'!$P$27:$P$40)</f>
        <v>109808</v>
      </c>
      <c r="Q41" s="22">
        <f>'Enrollment by Program Level'!$O$41/'Enrollment by Program Level'!$P$41</f>
        <v>0.84048521054932246</v>
      </c>
      <c r="R41" s="21">
        <f>SUBTOTAL(109,'Enrollment by Program Level'!$R$27:$R$40)</f>
        <v>89471</v>
      </c>
      <c r="S41" s="21">
        <f>SUBTOTAL(109,'Enrollment by Program Level'!$S$27:$S$40)</f>
        <v>107399</v>
      </c>
      <c r="T41" s="22">
        <f>'Enrollment by Program Level'!$R$41/'Enrollment by Program Level'!$S$41</f>
        <v>0.83307107142524606</v>
      </c>
      <c r="U41" s="21">
        <f>SUBTOTAL(109,'Enrollment by Program Level'!$U$27:$U$40)</f>
        <v>86549</v>
      </c>
      <c r="V41" s="21">
        <f>SUBTOTAL(109,'Enrollment by Program Level'!$V$27:$V$40)</f>
        <v>105049</v>
      </c>
      <c r="W41" s="22">
        <f>'Enrollment by Program Level'!$U$41/'Enrollment by Program Level'!$V$41</f>
        <v>0.82389170767927344</v>
      </c>
      <c r="X41" s="21">
        <f>SUBTOTAL(109,'Enrollment by Program Level'!$X$27:$X$40)</f>
        <v>83540</v>
      </c>
      <c r="Y41" s="21">
        <f>SUBTOTAL(109,'Enrollment by Program Level'!$Y$27:$Y$40)</f>
        <v>102572</v>
      </c>
      <c r="Z41" s="22">
        <f>'Enrollment by Program Level'!$X$41/'Enrollment by Program Level'!$Y$41</f>
        <v>0.81445228717388762</v>
      </c>
      <c r="AA41" s="21">
        <f>SUBTOTAL(109,'Enrollment by Program Level'!$AA$27:$AA$40)</f>
        <v>79525</v>
      </c>
      <c r="AB41" s="21">
        <f>SUBTOTAL(109,'Enrollment by Program Level'!$AB$27:$AB$40)</f>
        <v>98363</v>
      </c>
      <c r="AC41" s="22">
        <f>'Enrollment by Program Level'!$AA$41/'Enrollment by Program Level'!$AB$41</f>
        <v>0.80848489777660304</v>
      </c>
      <c r="AD41" s="21">
        <f>SUBTOTAL(109,'Enrollment by Program Level'!$AD$27:$AD$40)</f>
        <v>76636</v>
      </c>
      <c r="AE41" s="21">
        <f>SUBTOTAL(109,'Enrollment by Program Level'!$AE$27:$AE$40)</f>
        <v>95802</v>
      </c>
      <c r="AF41" s="22">
        <f>'Enrollment by Program Level'!$AD$41/'Enrollment by Program Level'!$AE$41</f>
        <v>0.79994154610550927</v>
      </c>
    </row>
    <row r="44" spans="2:32" ht="15" x14ac:dyDescent="0.2">
      <c r="B44" s="127" t="s">
        <v>257</v>
      </c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</row>
    <row r="45" spans="2:32" x14ac:dyDescent="0.2">
      <c r="B45" s="134" t="s">
        <v>1</v>
      </c>
      <c r="C45" s="133" t="str">
        <f>CONCATENATE(IF(RIGHT(Parameters!B1,1) = "1","Fall ", "Spring "),IF(RIGHT(Parameters!B1,1) = "1",LEFT(Parameters!B1,4) -9, LEFT(Parameters!B1,4) - 8))</f>
        <v>Fall 2010</v>
      </c>
      <c r="D45" s="133"/>
      <c r="E45" s="133"/>
      <c r="F45" s="133" t="str">
        <f>CONCATENATE(IF(RIGHT(Parameters!B1,1) = "1","Fall ", "Spring "),IF(RIGHT(Parameters!B1,1) = "1",LEFT(Parameters!B1,4) -8, LEFT(Parameters!B1,4) - 7))</f>
        <v>Fall 2011</v>
      </c>
      <c r="G45" s="133"/>
      <c r="H45" s="133"/>
      <c r="I45" s="133" t="str">
        <f>CONCATENATE(IF(RIGHT(Parameters!B1,1) = "1","Fall ", "Spring "),IF(RIGHT(Parameters!B1,1) = "1",LEFT(Parameters!B1,4) -7, LEFT(Parameters!B1,4) - 6))</f>
        <v>Fall 2012</v>
      </c>
      <c r="J45" s="133"/>
      <c r="K45" s="133"/>
      <c r="L45" s="133" t="str">
        <f>CONCATENATE(IF(RIGHT(Parameters!B1,1) = "1","Fall ", "Spring "),IF(RIGHT(Parameters!B1,1) = "1",LEFT(Parameters!B1,4) -6, LEFT(Parameters!B1,4) - 5))</f>
        <v>Fall 2013</v>
      </c>
      <c r="M45" s="133"/>
      <c r="N45" s="133"/>
      <c r="O45" s="133" t="str">
        <f>CONCATENATE(IF(RIGHT(Parameters!B1,1) = "1","Fall ", "Spring "),IF(RIGHT(Parameters!B1,1) = "1",LEFT(Parameters!B1,4) -5, LEFT(Parameters!B1,4) - 4))</f>
        <v>Fall 2014</v>
      </c>
      <c r="P45" s="133"/>
      <c r="Q45" s="133"/>
      <c r="R45" s="133" t="str">
        <f>CONCATENATE(IF(RIGHT(Parameters!B1,1) = "1","Fall ", "Spring "),IF(RIGHT(Parameters!B1,1) = "1",LEFT(Parameters!B1,4) -4, LEFT(Parameters!B1,4) - 3))</f>
        <v>Fall 2015</v>
      </c>
      <c r="S45" s="133"/>
      <c r="T45" s="133"/>
      <c r="U45" s="133" t="str">
        <f>CONCATENATE(IF(RIGHT(Parameters!B1,1) = "1","Fall ", "Spring "),IF(RIGHT(Parameters!B1,1) = "1",LEFT(Parameters!B1,4) -3, LEFT(Parameters!B1,4) -2 ))</f>
        <v>Fall 2016</v>
      </c>
      <c r="V45" s="133"/>
      <c r="W45" s="133"/>
      <c r="X45" s="133" t="str">
        <f>CONCATENATE(IF(RIGHT(Parameters!B1,1) = "1","Fall ", "Spring "),IF(RIGHT(Parameters!B1,1) = "1",LEFT(Parameters!B1,4) -2, LEFT(Parameters!B1,4) -1 ))</f>
        <v>Fall 2017</v>
      </c>
      <c r="Y45" s="133"/>
      <c r="Z45" s="133"/>
      <c r="AA45" s="133" t="str">
        <f>CONCATENATE(IF(RIGHT(Parameters!B1,1) = "1","Fall ", "Spring "),IF(RIGHT(Parameters!B1,1) = "1",LEFT(Parameters!B1,4) -1, LEFT(Parameters!B1,4)  ))</f>
        <v>Fall 2018</v>
      </c>
      <c r="AB45" s="133"/>
      <c r="AC45" s="133"/>
      <c r="AD45" s="133" t="str">
        <f>CONCATENATE(IF(RIGHT(Parameters!B1,1) = "1","Fall ", "Spring "),IF(RIGHT(Parameters!B1,1) = "1",LEFT(Parameters!B1,4), LEFT(Parameters!B1,4) + 1))</f>
        <v>Fall 2019</v>
      </c>
      <c r="AE45" s="133"/>
      <c r="AF45" s="133"/>
    </row>
    <row r="46" spans="2:32" ht="42.75" x14ac:dyDescent="0.2">
      <c r="B46" s="135"/>
      <c r="C46" s="54" t="s">
        <v>258</v>
      </c>
      <c r="D46" s="54" t="s">
        <v>82</v>
      </c>
      <c r="E46" s="54" t="s">
        <v>259</v>
      </c>
      <c r="F46" s="54" t="s">
        <v>258</v>
      </c>
      <c r="G46" s="54" t="s">
        <v>82</v>
      </c>
      <c r="H46" s="54" t="s">
        <v>259</v>
      </c>
      <c r="I46" s="54" t="s">
        <v>258</v>
      </c>
      <c r="J46" s="54" t="s">
        <v>82</v>
      </c>
      <c r="K46" s="54" t="s">
        <v>259</v>
      </c>
      <c r="L46" s="54" t="s">
        <v>258</v>
      </c>
      <c r="M46" s="54" t="s">
        <v>82</v>
      </c>
      <c r="N46" s="54" t="s">
        <v>259</v>
      </c>
      <c r="O46" s="54" t="s">
        <v>258</v>
      </c>
      <c r="P46" s="54" t="s">
        <v>82</v>
      </c>
      <c r="Q46" s="54" t="s">
        <v>259</v>
      </c>
      <c r="R46" s="54" t="s">
        <v>258</v>
      </c>
      <c r="S46" s="54" t="s">
        <v>82</v>
      </c>
      <c r="T46" s="54" t="s">
        <v>259</v>
      </c>
      <c r="U46" s="54" t="s">
        <v>258</v>
      </c>
      <c r="V46" s="54" t="s">
        <v>82</v>
      </c>
      <c r="W46" s="54" t="s">
        <v>259</v>
      </c>
      <c r="X46" s="54" t="s">
        <v>258</v>
      </c>
      <c r="Y46" s="54" t="s">
        <v>82</v>
      </c>
      <c r="Z46" s="54" t="s">
        <v>259</v>
      </c>
      <c r="AA46" s="54" t="s">
        <v>258</v>
      </c>
      <c r="AB46" s="54" t="s">
        <v>82</v>
      </c>
      <c r="AC46" s="54" t="s">
        <v>259</v>
      </c>
      <c r="AD46" s="54" t="s">
        <v>258</v>
      </c>
      <c r="AE46" s="54" t="s">
        <v>82</v>
      </c>
      <c r="AF46" s="54" t="s">
        <v>259</v>
      </c>
    </row>
    <row r="47" spans="2:32" ht="17.25" hidden="1" customHeight="1" thickBot="1" x14ac:dyDescent="0.25">
      <c r="B47" s="26" t="s">
        <v>2</v>
      </c>
      <c r="C47" s="26" t="s">
        <v>84</v>
      </c>
      <c r="D47" s="26" t="s">
        <v>85</v>
      </c>
      <c r="E47" s="26" t="s">
        <v>86</v>
      </c>
      <c r="F47" s="26" t="s">
        <v>87</v>
      </c>
      <c r="G47" s="26" t="s">
        <v>88</v>
      </c>
      <c r="H47" s="26" t="s">
        <v>89</v>
      </c>
      <c r="I47" s="26" t="s">
        <v>90</v>
      </c>
      <c r="J47" s="26" t="s">
        <v>91</v>
      </c>
      <c r="K47" s="26" t="s">
        <v>92</v>
      </c>
      <c r="L47" s="26" t="s">
        <v>93</v>
      </c>
      <c r="M47" s="26" t="s">
        <v>94</v>
      </c>
      <c r="N47" s="26" t="s">
        <v>95</v>
      </c>
      <c r="O47" s="26" t="s">
        <v>96</v>
      </c>
      <c r="P47" s="26" t="s">
        <v>97</v>
      </c>
      <c r="Q47" s="26" t="s">
        <v>98</v>
      </c>
      <c r="R47" s="26" t="s">
        <v>99</v>
      </c>
      <c r="S47" s="26" t="s">
        <v>100</v>
      </c>
      <c r="T47" s="26" t="s">
        <v>101</v>
      </c>
      <c r="U47" s="26" t="s">
        <v>102</v>
      </c>
      <c r="V47" s="26" t="s">
        <v>103</v>
      </c>
      <c r="W47" s="26" t="s">
        <v>104</v>
      </c>
      <c r="X47" s="26" t="s">
        <v>105</v>
      </c>
      <c r="Y47" s="26" t="s">
        <v>106</v>
      </c>
      <c r="Z47" s="26" t="s">
        <v>147</v>
      </c>
      <c r="AA47" s="26" t="s">
        <v>108</v>
      </c>
      <c r="AB47" s="26" t="s">
        <v>109</v>
      </c>
      <c r="AC47" s="26" t="s">
        <v>110</v>
      </c>
      <c r="AD47" s="26" t="s">
        <v>111</v>
      </c>
      <c r="AE47" s="26" t="s">
        <v>112</v>
      </c>
      <c r="AF47" s="26" t="s">
        <v>113</v>
      </c>
    </row>
    <row r="48" spans="2:32" x14ac:dyDescent="0.2">
      <c r="B48" s="67" t="s">
        <v>13</v>
      </c>
      <c r="C48" s="57">
        <v>822</v>
      </c>
      <c r="D48" s="57">
        <v>10091</v>
      </c>
      <c r="E48" s="68">
        <v>8.1458000000000003E-2</v>
      </c>
      <c r="F48" s="57">
        <v>760</v>
      </c>
      <c r="G48" s="57">
        <v>10159</v>
      </c>
      <c r="H48" s="68">
        <v>7.4810000000000001E-2</v>
      </c>
      <c r="I48" s="57">
        <v>641</v>
      </c>
      <c r="J48" s="57">
        <v>9950</v>
      </c>
      <c r="K48" s="68">
        <v>6.4421999999999993E-2</v>
      </c>
      <c r="L48" s="57">
        <v>587</v>
      </c>
      <c r="M48" s="57">
        <v>10127</v>
      </c>
      <c r="N48" s="68">
        <v>5.7963000000000001E-2</v>
      </c>
      <c r="O48" s="57">
        <v>586</v>
      </c>
      <c r="P48" s="57">
        <v>9998</v>
      </c>
      <c r="Q48" s="68">
        <v>5.8611000000000003E-2</v>
      </c>
      <c r="R48" s="57">
        <v>542</v>
      </c>
      <c r="S48" s="57">
        <v>9777</v>
      </c>
      <c r="T48" s="68">
        <v>5.5435999999999999E-2</v>
      </c>
      <c r="U48" s="57">
        <v>590</v>
      </c>
      <c r="V48" s="57">
        <v>9658</v>
      </c>
      <c r="W48" s="68">
        <v>6.1088999999999997E-2</v>
      </c>
      <c r="X48" s="57">
        <v>590</v>
      </c>
      <c r="Y48" s="57">
        <v>9287</v>
      </c>
      <c r="Z48" s="68">
        <v>6.3529000000000002E-2</v>
      </c>
      <c r="AA48" s="57">
        <v>589</v>
      </c>
      <c r="AB48" s="57">
        <v>8924</v>
      </c>
      <c r="AC48" s="68">
        <v>6.6001000000000004E-2</v>
      </c>
      <c r="AD48" s="57">
        <v>605</v>
      </c>
      <c r="AE48" s="57">
        <v>8689</v>
      </c>
      <c r="AF48" s="68">
        <v>6.9627999999999995E-2</v>
      </c>
    </row>
    <row r="49" spans="2:32" x14ac:dyDescent="0.2">
      <c r="B49" s="69" t="s">
        <v>14</v>
      </c>
      <c r="C49" s="59">
        <v>1728</v>
      </c>
      <c r="D49" s="59">
        <v>9400</v>
      </c>
      <c r="E49" s="70">
        <v>0.18382899999999999</v>
      </c>
      <c r="F49" s="59">
        <v>1878</v>
      </c>
      <c r="G49" s="59">
        <v>9483</v>
      </c>
      <c r="H49" s="70">
        <v>0.19803799999999999</v>
      </c>
      <c r="I49" s="59">
        <v>1705</v>
      </c>
      <c r="J49" s="59">
        <v>8608</v>
      </c>
      <c r="K49" s="70">
        <v>0.198071</v>
      </c>
      <c r="L49" s="59">
        <v>1611</v>
      </c>
      <c r="M49" s="59">
        <v>8243</v>
      </c>
      <c r="N49" s="70">
        <v>0.195438</v>
      </c>
      <c r="O49" s="59">
        <v>1697</v>
      </c>
      <c r="P49" s="59">
        <v>7978</v>
      </c>
      <c r="Q49" s="70">
        <v>0.21270900000000001</v>
      </c>
      <c r="R49" s="59">
        <v>1862</v>
      </c>
      <c r="S49" s="59">
        <v>7854</v>
      </c>
      <c r="T49" s="70">
        <v>0.23707600000000001</v>
      </c>
      <c r="U49" s="59">
        <v>1853</v>
      </c>
      <c r="V49" s="59">
        <v>7553</v>
      </c>
      <c r="W49" s="70">
        <v>0.24533199999999999</v>
      </c>
      <c r="X49" s="59">
        <v>1780</v>
      </c>
      <c r="Y49" s="59">
        <v>7788</v>
      </c>
      <c r="Z49" s="70">
        <v>0.22855600000000001</v>
      </c>
      <c r="AA49" s="59">
        <v>1708</v>
      </c>
      <c r="AB49" s="59">
        <v>7312</v>
      </c>
      <c r="AC49" s="70">
        <v>0.23358799999999999</v>
      </c>
      <c r="AD49" s="59">
        <v>1617</v>
      </c>
      <c r="AE49" s="59">
        <v>6842</v>
      </c>
      <c r="AF49" s="70">
        <v>0.23633399999999999</v>
      </c>
    </row>
    <row r="50" spans="2:32" x14ac:dyDescent="0.2">
      <c r="B50" s="69" t="s">
        <v>15</v>
      </c>
      <c r="C50" s="59">
        <v>74</v>
      </c>
      <c r="D50" s="59">
        <v>1586</v>
      </c>
      <c r="E50" s="70">
        <v>4.6657999999999998E-2</v>
      </c>
      <c r="F50" s="59">
        <v>59</v>
      </c>
      <c r="G50" s="59">
        <v>1200</v>
      </c>
      <c r="H50" s="70">
        <v>4.9166000000000001E-2</v>
      </c>
      <c r="I50" s="59">
        <v>60</v>
      </c>
      <c r="J50" s="59">
        <v>1284</v>
      </c>
      <c r="K50" s="70">
        <v>4.6727999999999999E-2</v>
      </c>
      <c r="L50" s="59">
        <v>33</v>
      </c>
      <c r="M50" s="59">
        <v>1212</v>
      </c>
      <c r="N50" s="70">
        <v>2.7227000000000001E-2</v>
      </c>
      <c r="O50" s="59">
        <v>25</v>
      </c>
      <c r="P50" s="59">
        <v>1022</v>
      </c>
      <c r="Q50" s="70">
        <v>2.4461E-2</v>
      </c>
      <c r="R50" s="59">
        <v>24</v>
      </c>
      <c r="S50" s="59">
        <v>711</v>
      </c>
      <c r="T50" s="70">
        <v>3.3755E-2</v>
      </c>
      <c r="U50" s="59">
        <v>37</v>
      </c>
      <c r="V50" s="59">
        <v>746</v>
      </c>
      <c r="W50" s="70">
        <v>4.9597000000000002E-2</v>
      </c>
      <c r="X50" s="59">
        <v>32</v>
      </c>
      <c r="Y50" s="59">
        <v>755</v>
      </c>
      <c r="Z50" s="70">
        <v>4.2383999999999998E-2</v>
      </c>
      <c r="AA50" s="59">
        <v>0</v>
      </c>
      <c r="AB50" s="59">
        <v>469</v>
      </c>
      <c r="AC50" s="70">
        <v>0</v>
      </c>
      <c r="AD50" s="59">
        <v>0</v>
      </c>
      <c r="AE50" s="59">
        <v>618</v>
      </c>
      <c r="AF50" s="70">
        <v>0</v>
      </c>
    </row>
    <row r="51" spans="2:32" x14ac:dyDescent="0.2">
      <c r="B51" s="69" t="s">
        <v>16</v>
      </c>
      <c r="C51" s="59">
        <v>906</v>
      </c>
      <c r="D51" s="59">
        <v>7315</v>
      </c>
      <c r="E51" s="70">
        <v>0.12385500000000001</v>
      </c>
      <c r="F51" s="59">
        <v>1083</v>
      </c>
      <c r="G51" s="59">
        <v>6991</v>
      </c>
      <c r="H51" s="70">
        <v>0.154913</v>
      </c>
      <c r="I51" s="59">
        <v>980</v>
      </c>
      <c r="J51" s="59">
        <v>6520</v>
      </c>
      <c r="K51" s="70">
        <v>0.150306</v>
      </c>
      <c r="L51" s="59">
        <v>852</v>
      </c>
      <c r="M51" s="59">
        <v>6080</v>
      </c>
      <c r="N51" s="70">
        <v>0.14013100000000001</v>
      </c>
      <c r="O51" s="59">
        <v>766</v>
      </c>
      <c r="P51" s="59">
        <v>5712</v>
      </c>
      <c r="Q51" s="70">
        <v>0.134103</v>
      </c>
      <c r="R51" s="59">
        <v>782</v>
      </c>
      <c r="S51" s="59">
        <v>5368</v>
      </c>
      <c r="T51" s="70">
        <v>0.145678</v>
      </c>
      <c r="U51" s="59">
        <v>857</v>
      </c>
      <c r="V51" s="59">
        <v>5224</v>
      </c>
      <c r="W51" s="70">
        <v>0.16405</v>
      </c>
      <c r="X51" s="59">
        <v>881</v>
      </c>
      <c r="Y51" s="59">
        <v>5225</v>
      </c>
      <c r="Z51" s="70">
        <v>0.16861200000000001</v>
      </c>
      <c r="AA51" s="59">
        <v>900</v>
      </c>
      <c r="AB51" s="59">
        <v>4869</v>
      </c>
      <c r="AC51" s="70">
        <v>0.18484200000000001</v>
      </c>
      <c r="AD51" s="59">
        <v>889</v>
      </c>
      <c r="AE51" s="59">
        <v>4703</v>
      </c>
      <c r="AF51" s="70">
        <v>0.189028</v>
      </c>
    </row>
    <row r="52" spans="2:32" x14ac:dyDescent="0.2">
      <c r="B52" s="69" t="s">
        <v>17</v>
      </c>
      <c r="C52" s="59">
        <v>766</v>
      </c>
      <c r="D52" s="59">
        <v>7387</v>
      </c>
      <c r="E52" s="70">
        <v>0.103695</v>
      </c>
      <c r="F52" s="59">
        <v>589</v>
      </c>
      <c r="G52" s="59">
        <v>7353</v>
      </c>
      <c r="H52" s="70">
        <v>8.0102999999999994E-2</v>
      </c>
      <c r="I52" s="59">
        <v>482</v>
      </c>
      <c r="J52" s="59">
        <v>6943</v>
      </c>
      <c r="K52" s="70">
        <v>6.9421999999999998E-2</v>
      </c>
      <c r="L52" s="59">
        <v>467</v>
      </c>
      <c r="M52" s="59">
        <v>6778</v>
      </c>
      <c r="N52" s="70">
        <v>6.8899000000000002E-2</v>
      </c>
      <c r="O52" s="59">
        <v>512</v>
      </c>
      <c r="P52" s="59">
        <v>6820</v>
      </c>
      <c r="Q52" s="70">
        <v>7.5073000000000001E-2</v>
      </c>
      <c r="R52" s="59">
        <v>533</v>
      </c>
      <c r="S52" s="59">
        <v>6828</v>
      </c>
      <c r="T52" s="70">
        <v>7.8060000000000004E-2</v>
      </c>
      <c r="U52" s="59">
        <v>516</v>
      </c>
      <c r="V52" s="59">
        <v>6830</v>
      </c>
      <c r="W52" s="70">
        <v>7.5549000000000005E-2</v>
      </c>
      <c r="X52" s="59">
        <v>542</v>
      </c>
      <c r="Y52" s="59">
        <v>6742</v>
      </c>
      <c r="Z52" s="70">
        <v>8.0391000000000004E-2</v>
      </c>
      <c r="AA52" s="59">
        <v>563</v>
      </c>
      <c r="AB52" s="59">
        <v>6425</v>
      </c>
      <c r="AC52" s="70">
        <v>8.7625999999999996E-2</v>
      </c>
      <c r="AD52" s="59">
        <v>602</v>
      </c>
      <c r="AE52" s="59">
        <v>6214</v>
      </c>
      <c r="AF52" s="70">
        <v>9.6878000000000006E-2</v>
      </c>
    </row>
    <row r="53" spans="2:32" x14ac:dyDescent="0.2">
      <c r="B53" s="69" t="s">
        <v>18</v>
      </c>
      <c r="C53" s="59">
        <v>1633</v>
      </c>
      <c r="D53" s="59">
        <v>8642</v>
      </c>
      <c r="E53" s="70">
        <v>0.18895999999999999</v>
      </c>
      <c r="F53" s="59">
        <v>1441</v>
      </c>
      <c r="G53" s="59">
        <v>8262</v>
      </c>
      <c r="H53" s="70">
        <v>0.17441200000000001</v>
      </c>
      <c r="I53" s="59">
        <v>1250</v>
      </c>
      <c r="J53" s="59">
        <v>7462</v>
      </c>
      <c r="K53" s="70">
        <v>0.167515</v>
      </c>
      <c r="L53" s="59">
        <v>1115</v>
      </c>
      <c r="M53" s="59">
        <v>7098</v>
      </c>
      <c r="N53" s="70">
        <v>0.157086</v>
      </c>
      <c r="O53" s="59">
        <v>1120</v>
      </c>
      <c r="P53" s="59">
        <v>6837</v>
      </c>
      <c r="Q53" s="70">
        <v>0.16381399999999999</v>
      </c>
      <c r="R53" s="59">
        <v>1152</v>
      </c>
      <c r="S53" s="59">
        <v>6550</v>
      </c>
      <c r="T53" s="70">
        <v>0.17587700000000001</v>
      </c>
      <c r="U53" s="59">
        <v>1182</v>
      </c>
      <c r="V53" s="59">
        <v>6181</v>
      </c>
      <c r="W53" s="70">
        <v>0.19123100000000001</v>
      </c>
      <c r="X53" s="59">
        <v>1155</v>
      </c>
      <c r="Y53" s="59">
        <v>5575</v>
      </c>
      <c r="Z53" s="70">
        <v>0.207174</v>
      </c>
      <c r="AA53" s="59">
        <v>1147</v>
      </c>
      <c r="AB53" s="59">
        <v>4834</v>
      </c>
      <c r="AC53" s="70">
        <v>0.23727699999999999</v>
      </c>
      <c r="AD53" s="59">
        <v>1137</v>
      </c>
      <c r="AE53" s="59">
        <v>4646</v>
      </c>
      <c r="AF53" s="70">
        <v>0.244726</v>
      </c>
    </row>
    <row r="54" spans="2:32" x14ac:dyDescent="0.2">
      <c r="B54" s="69" t="s">
        <v>19</v>
      </c>
      <c r="C54" s="59">
        <v>1396</v>
      </c>
      <c r="D54" s="59">
        <v>15126</v>
      </c>
      <c r="E54" s="70">
        <v>9.2290999999999998E-2</v>
      </c>
      <c r="F54" s="59">
        <v>1303</v>
      </c>
      <c r="G54" s="59">
        <v>15132</v>
      </c>
      <c r="H54" s="70">
        <v>8.6108000000000004E-2</v>
      </c>
      <c r="I54" s="59">
        <v>1364</v>
      </c>
      <c r="J54" s="59">
        <v>15596</v>
      </c>
      <c r="K54" s="70">
        <v>8.7457999999999994E-2</v>
      </c>
      <c r="L54" s="59">
        <v>1260</v>
      </c>
      <c r="M54" s="59">
        <v>14925</v>
      </c>
      <c r="N54" s="70">
        <v>8.4421999999999997E-2</v>
      </c>
      <c r="O54" s="59">
        <v>1293</v>
      </c>
      <c r="P54" s="59">
        <v>14571</v>
      </c>
      <c r="Q54" s="70">
        <v>8.8736999999999996E-2</v>
      </c>
      <c r="R54" s="59">
        <v>1382</v>
      </c>
      <c r="S54" s="59">
        <v>14035</v>
      </c>
      <c r="T54" s="70">
        <v>9.8468E-2</v>
      </c>
      <c r="U54" s="59">
        <v>1353</v>
      </c>
      <c r="V54" s="59">
        <v>13114</v>
      </c>
      <c r="W54" s="70">
        <v>0.103172</v>
      </c>
      <c r="X54" s="59">
        <v>1246</v>
      </c>
      <c r="Y54" s="59">
        <v>12562</v>
      </c>
      <c r="Z54" s="70">
        <v>9.9187999999999998E-2</v>
      </c>
      <c r="AA54" s="59">
        <v>1219</v>
      </c>
      <c r="AB54" s="59">
        <v>11581</v>
      </c>
      <c r="AC54" s="70">
        <v>0.105258</v>
      </c>
      <c r="AD54" s="59">
        <v>1178</v>
      </c>
      <c r="AE54" s="59">
        <v>10636</v>
      </c>
      <c r="AF54" s="70">
        <v>0.11075500000000001</v>
      </c>
    </row>
    <row r="55" spans="2:32" x14ac:dyDescent="0.2">
      <c r="B55" s="69" t="s">
        <v>20</v>
      </c>
      <c r="C55" s="59">
        <v>782</v>
      </c>
      <c r="D55" s="59">
        <v>10707</v>
      </c>
      <c r="E55" s="70">
        <v>7.3036000000000004E-2</v>
      </c>
      <c r="F55" s="59">
        <v>730</v>
      </c>
      <c r="G55" s="59">
        <v>10283</v>
      </c>
      <c r="H55" s="70">
        <v>7.0989999999999998E-2</v>
      </c>
      <c r="I55" s="59">
        <v>627</v>
      </c>
      <c r="J55" s="59">
        <v>9804</v>
      </c>
      <c r="K55" s="70">
        <v>6.3952999999999996E-2</v>
      </c>
      <c r="L55" s="59">
        <v>649</v>
      </c>
      <c r="M55" s="59">
        <v>9513</v>
      </c>
      <c r="N55" s="70">
        <v>6.8222000000000005E-2</v>
      </c>
      <c r="O55" s="59">
        <v>606</v>
      </c>
      <c r="P55" s="59">
        <v>9218</v>
      </c>
      <c r="Q55" s="70">
        <v>6.5740000000000007E-2</v>
      </c>
      <c r="R55" s="59">
        <v>659</v>
      </c>
      <c r="S55" s="59">
        <v>9000</v>
      </c>
      <c r="T55" s="70">
        <v>7.3221999999999995E-2</v>
      </c>
      <c r="U55" s="59">
        <v>706</v>
      </c>
      <c r="V55" s="59">
        <v>8513</v>
      </c>
      <c r="W55" s="70">
        <v>8.2931000000000005E-2</v>
      </c>
      <c r="X55" s="59">
        <v>718</v>
      </c>
      <c r="Y55" s="59">
        <v>8329</v>
      </c>
      <c r="Z55" s="70">
        <v>8.6204000000000003E-2</v>
      </c>
      <c r="AA55" s="59">
        <v>777</v>
      </c>
      <c r="AB55" s="59">
        <v>8309</v>
      </c>
      <c r="AC55" s="70">
        <v>9.3512999999999999E-2</v>
      </c>
      <c r="AD55" s="59">
        <v>862</v>
      </c>
      <c r="AE55" s="59">
        <v>8199</v>
      </c>
      <c r="AF55" s="70">
        <v>0.10513400000000001</v>
      </c>
    </row>
    <row r="56" spans="2:32" x14ac:dyDescent="0.2">
      <c r="B56" s="69" t="s">
        <v>21</v>
      </c>
      <c r="C56" s="59">
        <v>305</v>
      </c>
      <c r="D56" s="59">
        <v>5451</v>
      </c>
      <c r="E56" s="70">
        <v>5.5953000000000003E-2</v>
      </c>
      <c r="F56" s="59">
        <v>318</v>
      </c>
      <c r="G56" s="59">
        <v>5366</v>
      </c>
      <c r="H56" s="70">
        <v>5.9262000000000002E-2</v>
      </c>
      <c r="I56" s="59">
        <v>335</v>
      </c>
      <c r="J56" s="59">
        <v>5328</v>
      </c>
      <c r="K56" s="70">
        <v>6.2875E-2</v>
      </c>
      <c r="L56" s="59">
        <v>397</v>
      </c>
      <c r="M56" s="59">
        <v>5260</v>
      </c>
      <c r="N56" s="70">
        <v>7.5475E-2</v>
      </c>
      <c r="O56" s="59">
        <v>392</v>
      </c>
      <c r="P56" s="59">
        <v>4917</v>
      </c>
      <c r="Q56" s="70">
        <v>7.9723000000000002E-2</v>
      </c>
      <c r="R56" s="59">
        <v>378</v>
      </c>
      <c r="S56" s="59">
        <v>4607</v>
      </c>
      <c r="T56" s="70">
        <v>8.2048999999999997E-2</v>
      </c>
      <c r="U56" s="59">
        <v>366</v>
      </c>
      <c r="V56" s="59">
        <v>4220</v>
      </c>
      <c r="W56" s="70">
        <v>8.6729000000000001E-2</v>
      </c>
      <c r="X56" s="59">
        <v>346</v>
      </c>
      <c r="Y56" s="59">
        <v>3827</v>
      </c>
      <c r="Z56" s="70">
        <v>9.0410000000000004E-2</v>
      </c>
      <c r="AA56" s="59">
        <v>349</v>
      </c>
      <c r="AB56" s="59">
        <v>3425</v>
      </c>
      <c r="AC56" s="70">
        <v>0.101897</v>
      </c>
      <c r="AD56" s="59">
        <v>399</v>
      </c>
      <c r="AE56" s="59">
        <v>3162</v>
      </c>
      <c r="AF56" s="70">
        <v>0.12618499999999999</v>
      </c>
    </row>
    <row r="57" spans="2:32" x14ac:dyDescent="0.2">
      <c r="B57" s="69" t="s">
        <v>22</v>
      </c>
      <c r="C57" s="59">
        <v>432</v>
      </c>
      <c r="D57" s="59">
        <v>3411</v>
      </c>
      <c r="E57" s="70">
        <v>0.12664900000000001</v>
      </c>
      <c r="F57" s="59">
        <v>373</v>
      </c>
      <c r="G57" s="59">
        <v>3275</v>
      </c>
      <c r="H57" s="70">
        <v>0.11389299999999999</v>
      </c>
      <c r="I57" s="59">
        <v>293</v>
      </c>
      <c r="J57" s="59">
        <v>3131</v>
      </c>
      <c r="K57" s="70">
        <v>9.3579999999999997E-2</v>
      </c>
      <c r="L57" s="59">
        <v>238</v>
      </c>
      <c r="M57" s="59">
        <v>2970</v>
      </c>
      <c r="N57" s="70">
        <v>8.0133999999999997E-2</v>
      </c>
      <c r="O57" s="59">
        <v>153</v>
      </c>
      <c r="P57" s="59">
        <v>2752</v>
      </c>
      <c r="Q57" s="70">
        <v>5.5594999999999999E-2</v>
      </c>
      <c r="R57" s="59">
        <v>118</v>
      </c>
      <c r="S57" s="59">
        <v>2389</v>
      </c>
      <c r="T57" s="70">
        <v>4.9392999999999999E-2</v>
      </c>
      <c r="U57" s="59">
        <v>83</v>
      </c>
      <c r="V57" s="59">
        <v>2207</v>
      </c>
      <c r="W57" s="70">
        <v>3.7607000000000002E-2</v>
      </c>
      <c r="X57" s="59">
        <v>59</v>
      </c>
      <c r="Y57" s="59">
        <v>1922</v>
      </c>
      <c r="Z57" s="70">
        <v>3.0696999999999999E-2</v>
      </c>
      <c r="AA57" s="59">
        <v>38</v>
      </c>
      <c r="AB57" s="59">
        <v>1650</v>
      </c>
      <c r="AC57" s="70">
        <v>2.3029999999999998E-2</v>
      </c>
      <c r="AD57" s="59">
        <v>23</v>
      </c>
      <c r="AE57" s="59">
        <v>1683</v>
      </c>
      <c r="AF57" s="70">
        <v>1.3665999999999999E-2</v>
      </c>
    </row>
    <row r="58" spans="2:32" x14ac:dyDescent="0.2">
      <c r="B58" s="69" t="s">
        <v>23</v>
      </c>
      <c r="C58" s="59">
        <v>677</v>
      </c>
      <c r="D58" s="59">
        <v>8729</v>
      </c>
      <c r="E58" s="70">
        <v>7.7557000000000001E-2</v>
      </c>
      <c r="F58" s="59">
        <v>727</v>
      </c>
      <c r="G58" s="59">
        <v>8725</v>
      </c>
      <c r="H58" s="70">
        <v>8.3322999999999994E-2</v>
      </c>
      <c r="I58" s="59">
        <v>709</v>
      </c>
      <c r="J58" s="59">
        <v>8368</v>
      </c>
      <c r="K58" s="70">
        <v>8.4726999999999997E-2</v>
      </c>
      <c r="L58" s="59">
        <v>683</v>
      </c>
      <c r="M58" s="59">
        <v>8279</v>
      </c>
      <c r="N58" s="70">
        <v>8.2497000000000001E-2</v>
      </c>
      <c r="O58" s="59">
        <v>671</v>
      </c>
      <c r="P58" s="59">
        <v>8047</v>
      </c>
      <c r="Q58" s="70">
        <v>8.3385000000000001E-2</v>
      </c>
      <c r="R58" s="59">
        <v>681</v>
      </c>
      <c r="S58" s="59">
        <v>7988</v>
      </c>
      <c r="T58" s="70">
        <v>8.5251999999999994E-2</v>
      </c>
      <c r="U58" s="59">
        <v>698</v>
      </c>
      <c r="V58" s="59">
        <v>7927</v>
      </c>
      <c r="W58" s="70">
        <v>8.8053000000000006E-2</v>
      </c>
      <c r="X58" s="59">
        <v>728</v>
      </c>
      <c r="Y58" s="59">
        <v>7748</v>
      </c>
      <c r="Z58" s="70">
        <v>9.3959000000000001E-2</v>
      </c>
      <c r="AA58" s="59">
        <v>752</v>
      </c>
      <c r="AB58" s="59">
        <v>7781</v>
      </c>
      <c r="AC58" s="70">
        <v>9.6644999999999995E-2</v>
      </c>
      <c r="AD58" s="59">
        <v>772</v>
      </c>
      <c r="AE58" s="59">
        <v>7817</v>
      </c>
      <c r="AF58" s="70">
        <v>9.8759E-2</v>
      </c>
    </row>
    <row r="59" spans="2:32" x14ac:dyDescent="0.2">
      <c r="B59" s="69" t="s">
        <v>24</v>
      </c>
      <c r="C59" s="59">
        <v>1011</v>
      </c>
      <c r="D59" s="59">
        <v>8326</v>
      </c>
      <c r="E59" s="70">
        <v>0.12142600000000001</v>
      </c>
      <c r="F59" s="59">
        <v>917</v>
      </c>
      <c r="G59" s="59">
        <v>8183</v>
      </c>
      <c r="H59" s="70">
        <v>0.11206099999999999</v>
      </c>
      <c r="I59" s="59">
        <v>871</v>
      </c>
      <c r="J59" s="59">
        <v>7724</v>
      </c>
      <c r="K59" s="70">
        <v>0.112765</v>
      </c>
      <c r="L59" s="59">
        <v>878</v>
      </c>
      <c r="M59" s="59">
        <v>7548</v>
      </c>
      <c r="N59" s="70">
        <v>0.11632199999999999</v>
      </c>
      <c r="O59" s="59">
        <v>873</v>
      </c>
      <c r="P59" s="59">
        <v>7355</v>
      </c>
      <c r="Q59" s="70">
        <v>0.11869399999999999</v>
      </c>
      <c r="R59" s="59">
        <v>926</v>
      </c>
      <c r="S59" s="59">
        <v>7058</v>
      </c>
      <c r="T59" s="70">
        <v>0.13119800000000001</v>
      </c>
      <c r="U59" s="59">
        <v>919</v>
      </c>
      <c r="V59" s="59">
        <v>6989</v>
      </c>
      <c r="W59" s="70">
        <v>0.131492</v>
      </c>
      <c r="X59" s="59">
        <v>818</v>
      </c>
      <c r="Y59" s="59">
        <v>6581</v>
      </c>
      <c r="Z59" s="70">
        <v>0.124297</v>
      </c>
      <c r="AA59" s="59">
        <v>718</v>
      </c>
      <c r="AB59" s="59">
        <v>6408</v>
      </c>
      <c r="AC59" s="70">
        <v>0.11204699999999999</v>
      </c>
      <c r="AD59" s="59">
        <v>676</v>
      </c>
      <c r="AE59" s="59">
        <v>6096</v>
      </c>
      <c r="AF59" s="70">
        <v>0.110892</v>
      </c>
    </row>
    <row r="60" spans="2:32" x14ac:dyDescent="0.2">
      <c r="B60" s="69" t="s">
        <v>25</v>
      </c>
      <c r="C60" s="59">
        <v>636</v>
      </c>
      <c r="D60" s="59">
        <v>8852</v>
      </c>
      <c r="E60" s="70">
        <v>7.1847999999999995E-2</v>
      </c>
      <c r="F60" s="59">
        <v>532</v>
      </c>
      <c r="G60" s="59">
        <v>8712</v>
      </c>
      <c r="H60" s="70">
        <v>6.1065000000000001E-2</v>
      </c>
      <c r="I60" s="59">
        <v>477</v>
      </c>
      <c r="J60" s="59">
        <v>8559</v>
      </c>
      <c r="K60" s="70">
        <v>5.5730000000000002E-2</v>
      </c>
      <c r="L60" s="59">
        <v>548</v>
      </c>
      <c r="M60" s="59">
        <v>8347</v>
      </c>
      <c r="N60" s="70">
        <v>6.5652000000000002E-2</v>
      </c>
      <c r="O60" s="59">
        <v>690</v>
      </c>
      <c r="P60" s="59">
        <v>8495</v>
      </c>
      <c r="Q60" s="70">
        <v>8.1224000000000005E-2</v>
      </c>
      <c r="R60" s="59">
        <v>781</v>
      </c>
      <c r="S60" s="59">
        <v>8628</v>
      </c>
      <c r="T60" s="70">
        <v>9.0519000000000002E-2</v>
      </c>
      <c r="U60" s="59">
        <v>917</v>
      </c>
      <c r="V60" s="59">
        <v>8881</v>
      </c>
      <c r="W60" s="70">
        <v>0.103254</v>
      </c>
      <c r="X60" s="59">
        <v>963</v>
      </c>
      <c r="Y60" s="59">
        <v>8895</v>
      </c>
      <c r="Z60" s="70">
        <v>0.108263</v>
      </c>
      <c r="AA60" s="59">
        <v>957</v>
      </c>
      <c r="AB60" s="59">
        <v>8824</v>
      </c>
      <c r="AC60" s="70">
        <v>0.10845399999999999</v>
      </c>
      <c r="AD60" s="59">
        <v>958</v>
      </c>
      <c r="AE60" s="59">
        <v>8806</v>
      </c>
      <c r="AF60" s="70">
        <v>0.108789</v>
      </c>
    </row>
    <row r="61" spans="2:32" x14ac:dyDescent="0.2">
      <c r="B61" s="71" t="s">
        <v>26</v>
      </c>
      <c r="C61" s="62">
        <v>1720</v>
      </c>
      <c r="D61" s="62">
        <v>14490</v>
      </c>
      <c r="E61" s="72">
        <v>0.118702</v>
      </c>
      <c r="F61" s="62">
        <v>1746</v>
      </c>
      <c r="G61" s="62">
        <v>15100</v>
      </c>
      <c r="H61" s="72">
        <v>0.115629</v>
      </c>
      <c r="I61" s="62">
        <v>1696</v>
      </c>
      <c r="J61" s="62">
        <v>15411</v>
      </c>
      <c r="K61" s="72">
        <v>0.110051</v>
      </c>
      <c r="L61" s="62">
        <v>1753</v>
      </c>
      <c r="M61" s="62">
        <v>15845</v>
      </c>
      <c r="N61" s="72">
        <v>0.110634</v>
      </c>
      <c r="O61" s="62">
        <v>1823</v>
      </c>
      <c r="P61" s="62">
        <v>16086</v>
      </c>
      <c r="Q61" s="72">
        <v>0.113328</v>
      </c>
      <c r="R61" s="62">
        <v>1973</v>
      </c>
      <c r="S61" s="62">
        <v>16606</v>
      </c>
      <c r="T61" s="72">
        <v>0.118812</v>
      </c>
      <c r="U61" s="62">
        <v>2127</v>
      </c>
      <c r="V61" s="62">
        <v>17006</v>
      </c>
      <c r="W61" s="72">
        <v>0.12507299999999999</v>
      </c>
      <c r="X61" s="62">
        <v>2358</v>
      </c>
      <c r="Y61" s="62">
        <v>17336</v>
      </c>
      <c r="Z61" s="72">
        <v>0.136017</v>
      </c>
      <c r="AA61" s="62">
        <v>2502</v>
      </c>
      <c r="AB61" s="62">
        <v>17552</v>
      </c>
      <c r="AC61" s="72">
        <v>0.14254700000000001</v>
      </c>
      <c r="AD61" s="62">
        <v>2552</v>
      </c>
      <c r="AE61" s="62">
        <v>17691</v>
      </c>
      <c r="AF61" s="72">
        <v>0.14425399999999999</v>
      </c>
    </row>
    <row r="62" spans="2:32" x14ac:dyDescent="0.2">
      <c r="B62" s="20" t="s">
        <v>27</v>
      </c>
      <c r="C62" s="21">
        <f>SUBTOTAL(109,'Enrollment by Program Level'!$C$48:$C$61)</f>
        <v>12888</v>
      </c>
      <c r="D62" s="21">
        <f>SUBTOTAL(109,'Enrollment by Program Level'!$D$48:$D$61)</f>
        <v>119513</v>
      </c>
      <c r="E62" s="22">
        <f>'Enrollment by Program Level'!$C$62/'Enrollment by Program Level'!$D$62</f>
        <v>0.10783764109343753</v>
      </c>
      <c r="F62" s="21">
        <f>SUBTOTAL(109,'Enrollment by Program Level'!$F$48:$F$61)</f>
        <v>12456</v>
      </c>
      <c r="G62" s="21">
        <f>SUBTOTAL(109,'Enrollment by Program Level'!$G$48:$G$61)</f>
        <v>118224</v>
      </c>
      <c r="H62" s="22">
        <f>'Enrollment by Program Level'!$F$62/'Enrollment by Program Level'!$G$62</f>
        <v>0.10535931790499391</v>
      </c>
      <c r="I62" s="21">
        <f>SUBTOTAL(109,'Enrollment by Program Level'!$I$48:$I$61)</f>
        <v>11490</v>
      </c>
      <c r="J62" s="21">
        <f>SUBTOTAL(109,'Enrollment by Program Level'!$J$48:$J$61)</f>
        <v>114688</v>
      </c>
      <c r="K62" s="22">
        <f>'Enrollment by Program Level'!$I$62/'Enrollment by Program Level'!$J$62</f>
        <v>0.10018484933035714</v>
      </c>
      <c r="L62" s="21">
        <f>SUBTOTAL(109,'Enrollment by Program Level'!$L$48:$L$61)</f>
        <v>11071</v>
      </c>
      <c r="M62" s="21">
        <f>SUBTOTAL(109,'Enrollment by Program Level'!$M$48:$M$61)</f>
        <v>112225</v>
      </c>
      <c r="N62" s="22">
        <f>'Enrollment by Program Level'!$L$62/'Enrollment by Program Level'!$M$62</f>
        <v>9.8650033415014479E-2</v>
      </c>
      <c r="O62" s="21">
        <f>SUBTOTAL(109,'Enrollment by Program Level'!$O$48:$O$61)</f>
        <v>11207</v>
      </c>
      <c r="P62" s="21">
        <f>SUBTOTAL(109,'Enrollment by Program Level'!$P$48:$P$61)</f>
        <v>109808</v>
      </c>
      <c r="Q62" s="22">
        <f>'Enrollment by Program Level'!$O$62/'Enrollment by Program Level'!$P$62</f>
        <v>0.10205995920151537</v>
      </c>
      <c r="R62" s="21">
        <f>SUBTOTAL(109,'Enrollment by Program Level'!$R$48:$R$61)</f>
        <v>11793</v>
      </c>
      <c r="S62" s="21">
        <f>SUBTOTAL(109,'Enrollment by Program Level'!$S$48:$S$61)</f>
        <v>107399</v>
      </c>
      <c r="T62" s="22">
        <f>'Enrollment by Program Level'!$R$62/'Enrollment by Program Level'!$S$62</f>
        <v>0.10980549167124461</v>
      </c>
      <c r="U62" s="21">
        <f>SUBTOTAL(109,'Enrollment by Program Level'!$U$48:$U$61)</f>
        <v>12204</v>
      </c>
      <c r="V62" s="21">
        <f>SUBTOTAL(109,'Enrollment by Program Level'!$V$48:$V$61)</f>
        <v>105049</v>
      </c>
      <c r="W62" s="22">
        <f>'Enrollment by Program Level'!$U$62/'Enrollment by Program Level'!$V$62</f>
        <v>0.11617435672876467</v>
      </c>
      <c r="X62" s="21">
        <f>SUBTOTAL(109,'Enrollment by Program Level'!$X$48:$X$61)</f>
        <v>12216</v>
      </c>
      <c r="Y62" s="21">
        <f>SUBTOTAL(109,'Enrollment by Program Level'!$Y$48:$Y$61)</f>
        <v>102572</v>
      </c>
      <c r="Z62" s="22">
        <f>'Enrollment by Program Level'!$X$62/'Enrollment by Program Level'!$Y$62</f>
        <v>0.11909682954412511</v>
      </c>
      <c r="AA62" s="21">
        <f>SUBTOTAL(109,'Enrollment by Program Level'!$AA$48:$AA$61)</f>
        <v>12219</v>
      </c>
      <c r="AB62" s="21">
        <f>SUBTOTAL(109,'Enrollment by Program Level'!$AB$48:$AB$61)</f>
        <v>98363</v>
      </c>
      <c r="AC62" s="22">
        <f>'Enrollment by Program Level'!$AA$62/'Enrollment by Program Level'!$AB$62</f>
        <v>0.12422353933897909</v>
      </c>
      <c r="AD62" s="21">
        <f>SUBTOTAL(109,'Enrollment by Program Level'!$AD$48:$AD$61)</f>
        <v>12270</v>
      </c>
      <c r="AE62" s="21">
        <f>SUBTOTAL(109,'Enrollment by Program Level'!$AE$48:$AE$61)</f>
        <v>95802</v>
      </c>
      <c r="AF62" s="22">
        <f>'Enrollment by Program Level'!$AD$62/'Enrollment by Program Level'!$AE$62</f>
        <v>0.12807665810734639</v>
      </c>
    </row>
    <row r="64" spans="2:32" ht="23.25" customHeight="1" x14ac:dyDescent="0.2">
      <c r="B64" s="127" t="s">
        <v>260</v>
      </c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</row>
    <row r="65" spans="2:32" ht="22.5" customHeight="1" x14ac:dyDescent="0.2">
      <c r="B65" s="134" t="s">
        <v>1</v>
      </c>
      <c r="C65" s="133" t="str">
        <f>CONCATENATE(IF(RIGHT(Parameters!B1,1) = "1","Fall ", "Spring "),IF(RIGHT(Parameters!B1,1) = "1",LEFT(Parameters!B1,4) -9, LEFT(Parameters!B1,4) - 8))</f>
        <v>Fall 2010</v>
      </c>
      <c r="D65" s="133"/>
      <c r="E65" s="133"/>
      <c r="F65" s="133" t="str">
        <f>CONCATENATE(IF(RIGHT(Parameters!B1,1) = "1","Fall ", "Spring "),IF(RIGHT(Parameters!B1,1) = "1",LEFT(Parameters!B1,4) -8, LEFT(Parameters!B1,4) - 7))</f>
        <v>Fall 2011</v>
      </c>
      <c r="G65" s="133"/>
      <c r="H65" s="133"/>
      <c r="I65" s="133" t="str">
        <f>CONCATENATE(IF(RIGHT(Parameters!B1,1) = "1","Fall ", "Spring "),IF(RIGHT(Parameters!B1,1) = "1",LEFT(Parameters!B1,4) -7, LEFT(Parameters!B1,4) - 6))</f>
        <v>Fall 2012</v>
      </c>
      <c r="J65" s="133"/>
      <c r="K65" s="133"/>
      <c r="L65" s="133" t="str">
        <f>CONCATENATE(IF(RIGHT(Parameters!B1,1) = "1","Fall ", "Spring "),IF(RIGHT(Parameters!B1,1) = "1",LEFT(Parameters!B1,4) -6, LEFT(Parameters!B1,4) - 5))</f>
        <v>Fall 2013</v>
      </c>
      <c r="M65" s="133"/>
      <c r="N65" s="133"/>
      <c r="O65" s="133" t="str">
        <f>CONCATENATE(IF(RIGHT(Parameters!B1,1) = "1","Fall ", "Spring "),IF(RIGHT(Parameters!B1,1) = "1",LEFT(Parameters!B1,4) -5, LEFT(Parameters!B1,4) - 4))</f>
        <v>Fall 2014</v>
      </c>
      <c r="P65" s="133"/>
      <c r="Q65" s="133"/>
      <c r="R65" s="133" t="str">
        <f>CONCATENATE(IF(RIGHT(Parameters!B1,1) = "1","Fall ", "Spring "),IF(RIGHT(Parameters!B1,1) = "1",LEFT(Parameters!B1,4) -4, LEFT(Parameters!B1,4) - 4))</f>
        <v>Fall 2015</v>
      </c>
      <c r="S65" s="133"/>
      <c r="T65" s="133"/>
      <c r="U65" s="133" t="str">
        <f>CONCATENATE(IF(RIGHT(Parameters!B1,1) = "1","Fall ", "Spring "),IF(RIGHT(Parameters!B1,1) = "1",LEFT(Parameters!B1,4) -3, LEFT(Parameters!B1,4) -2 ))</f>
        <v>Fall 2016</v>
      </c>
      <c r="V65" s="133"/>
      <c r="W65" s="133"/>
      <c r="X65" s="133" t="str">
        <f>CONCATENATE(IF(RIGHT(Parameters!B1,1) = "1","Fall ", "Spring "),IF(RIGHT(Parameters!B1,1) = "1",LEFT(Parameters!B1,4) -2, LEFT(Parameters!B1,4) -1 ))</f>
        <v>Fall 2017</v>
      </c>
      <c r="Y65" s="133"/>
      <c r="Z65" s="133"/>
      <c r="AA65" s="133" t="str">
        <f>CONCATENATE(IF(RIGHT(Parameters!B1,1) = "1","Fall ", "Spring "),IF(RIGHT(Parameters!B1,1) = "1",LEFT(Parameters!B1,4) -1, LEFT(Parameters!B1,4)  ))</f>
        <v>Fall 2018</v>
      </c>
      <c r="AB65" s="133"/>
      <c r="AC65" s="133"/>
      <c r="AD65" s="133" t="str">
        <f>CONCATENATE(IF(RIGHT(Parameters!B1,1) = "1","Fall ", "Spring "),IF(RIGHT(Parameters!B1,1) = "1",LEFT(Parameters!B1,4), LEFT(Parameters!B1,4) + 1))</f>
        <v>Fall 2019</v>
      </c>
      <c r="AE65" s="133"/>
      <c r="AF65" s="133"/>
    </row>
    <row r="66" spans="2:32" ht="55.5" customHeight="1" x14ac:dyDescent="0.2">
      <c r="B66" s="135"/>
      <c r="C66" s="54" t="s">
        <v>261</v>
      </c>
      <c r="D66" s="54" t="s">
        <v>82</v>
      </c>
      <c r="E66" s="54" t="s">
        <v>262</v>
      </c>
      <c r="F66" s="54" t="s">
        <v>261</v>
      </c>
      <c r="G66" s="54" t="s">
        <v>82</v>
      </c>
      <c r="H66" s="54" t="s">
        <v>262</v>
      </c>
      <c r="I66" s="54" t="s">
        <v>261</v>
      </c>
      <c r="J66" s="54" t="s">
        <v>82</v>
      </c>
      <c r="K66" s="54" t="s">
        <v>262</v>
      </c>
      <c r="L66" s="54" t="s">
        <v>261</v>
      </c>
      <c r="M66" s="54" t="s">
        <v>82</v>
      </c>
      <c r="N66" s="54" t="s">
        <v>262</v>
      </c>
      <c r="O66" s="54" t="s">
        <v>261</v>
      </c>
      <c r="P66" s="54" t="s">
        <v>82</v>
      </c>
      <c r="Q66" s="54" t="s">
        <v>262</v>
      </c>
      <c r="R66" s="54" t="s">
        <v>261</v>
      </c>
      <c r="S66" s="54" t="s">
        <v>82</v>
      </c>
      <c r="T66" s="54" t="s">
        <v>262</v>
      </c>
      <c r="U66" s="54" t="s">
        <v>261</v>
      </c>
      <c r="V66" s="54" t="s">
        <v>82</v>
      </c>
      <c r="W66" s="54" t="s">
        <v>262</v>
      </c>
      <c r="X66" s="54" t="s">
        <v>261</v>
      </c>
      <c r="Y66" s="54" t="s">
        <v>82</v>
      </c>
      <c r="Z66" s="54" t="s">
        <v>262</v>
      </c>
      <c r="AA66" s="54" t="s">
        <v>261</v>
      </c>
      <c r="AB66" s="54" t="s">
        <v>82</v>
      </c>
      <c r="AC66" s="54" t="s">
        <v>262</v>
      </c>
      <c r="AD66" s="54" t="s">
        <v>261</v>
      </c>
      <c r="AE66" s="54" t="s">
        <v>82</v>
      </c>
      <c r="AF66" s="54" t="s">
        <v>262</v>
      </c>
    </row>
    <row r="67" spans="2:32" ht="14.25" hidden="1" customHeight="1" x14ac:dyDescent="0.25">
      <c r="B67" s="31" t="s">
        <v>2</v>
      </c>
      <c r="C67" s="31" t="s">
        <v>84</v>
      </c>
      <c r="D67" s="31" t="s">
        <v>85</v>
      </c>
      <c r="E67" s="31" t="s">
        <v>86</v>
      </c>
      <c r="F67" s="31" t="s">
        <v>87</v>
      </c>
      <c r="G67" s="31" t="s">
        <v>88</v>
      </c>
      <c r="H67" s="31" t="s">
        <v>89</v>
      </c>
      <c r="I67" s="31" t="s">
        <v>90</v>
      </c>
      <c r="J67" s="31" t="s">
        <v>91</v>
      </c>
      <c r="K67" s="31" t="s">
        <v>92</v>
      </c>
      <c r="L67" s="31" t="s">
        <v>93</v>
      </c>
      <c r="M67" s="31" t="s">
        <v>94</v>
      </c>
      <c r="N67" s="31" t="s">
        <v>95</v>
      </c>
      <c r="O67" s="31" t="s">
        <v>96</v>
      </c>
      <c r="P67" s="31" t="s">
        <v>97</v>
      </c>
      <c r="Q67" s="31" t="s">
        <v>98</v>
      </c>
      <c r="R67" s="31" t="s">
        <v>99</v>
      </c>
      <c r="S67" s="31" t="s">
        <v>100</v>
      </c>
      <c r="T67" s="31" t="s">
        <v>101</v>
      </c>
      <c r="U67" s="31" t="s">
        <v>102</v>
      </c>
      <c r="V67" s="31" t="s">
        <v>103</v>
      </c>
      <c r="W67" s="31" t="s">
        <v>104</v>
      </c>
      <c r="X67" s="31" t="s">
        <v>105</v>
      </c>
      <c r="Y67" s="31" t="s">
        <v>106</v>
      </c>
      <c r="Z67" s="31" t="s">
        <v>147</v>
      </c>
      <c r="AA67" s="31" t="s">
        <v>108</v>
      </c>
      <c r="AB67" s="31" t="s">
        <v>109</v>
      </c>
      <c r="AC67" s="31" t="s">
        <v>110</v>
      </c>
      <c r="AD67" s="31" t="s">
        <v>111</v>
      </c>
      <c r="AE67" s="31" t="s">
        <v>112</v>
      </c>
      <c r="AF67" s="31" t="s">
        <v>113</v>
      </c>
    </row>
    <row r="68" spans="2:32" x14ac:dyDescent="0.2">
      <c r="B68" s="39" t="s">
        <v>13</v>
      </c>
      <c r="C68" s="33">
        <v>57</v>
      </c>
      <c r="D68" s="33">
        <v>10091</v>
      </c>
      <c r="E68" s="40">
        <v>5.6480000000000002E-3</v>
      </c>
      <c r="F68" s="33">
        <v>55</v>
      </c>
      <c r="G68" s="33">
        <v>10159</v>
      </c>
      <c r="H68" s="40">
        <v>5.4130000000000003E-3</v>
      </c>
      <c r="I68" s="33">
        <v>0</v>
      </c>
      <c r="J68" s="33">
        <v>9950</v>
      </c>
      <c r="K68" s="40">
        <v>0</v>
      </c>
      <c r="L68" s="33">
        <v>0</v>
      </c>
      <c r="M68" s="33">
        <v>10127</v>
      </c>
      <c r="N68" s="40">
        <v>0</v>
      </c>
      <c r="O68" s="33">
        <v>0</v>
      </c>
      <c r="P68" s="33">
        <v>9998</v>
      </c>
      <c r="Q68" s="40">
        <v>0</v>
      </c>
      <c r="R68" s="33">
        <v>0</v>
      </c>
      <c r="S68" s="33">
        <v>9777</v>
      </c>
      <c r="T68" s="40">
        <v>0</v>
      </c>
      <c r="U68" s="33">
        <v>0</v>
      </c>
      <c r="V68" s="33">
        <v>9658</v>
      </c>
      <c r="W68" s="40">
        <v>0</v>
      </c>
      <c r="X68" s="33">
        <v>9</v>
      </c>
      <c r="Y68" s="33">
        <v>9287</v>
      </c>
      <c r="Z68" s="40">
        <v>9.6900000000000003E-4</v>
      </c>
      <c r="AA68" s="33">
        <v>12</v>
      </c>
      <c r="AB68" s="33">
        <v>8924</v>
      </c>
      <c r="AC68" s="40">
        <v>1.3439999999999999E-3</v>
      </c>
      <c r="AD68" s="33">
        <v>0</v>
      </c>
      <c r="AE68" s="33">
        <v>8689</v>
      </c>
      <c r="AF68" s="41">
        <v>0</v>
      </c>
    </row>
    <row r="69" spans="2:32" x14ac:dyDescent="0.2">
      <c r="B69" s="42" t="s">
        <v>14</v>
      </c>
      <c r="C69" s="36">
        <v>0</v>
      </c>
      <c r="D69" s="36">
        <v>9400</v>
      </c>
      <c r="E69" s="43">
        <v>0</v>
      </c>
      <c r="F69" s="36">
        <v>0</v>
      </c>
      <c r="G69" s="36">
        <v>9483</v>
      </c>
      <c r="H69" s="43">
        <v>0</v>
      </c>
      <c r="I69" s="36">
        <v>0</v>
      </c>
      <c r="J69" s="36">
        <v>8608</v>
      </c>
      <c r="K69" s="43">
        <v>0</v>
      </c>
      <c r="L69" s="36">
        <v>0</v>
      </c>
      <c r="M69" s="36">
        <v>8243</v>
      </c>
      <c r="N69" s="43">
        <v>0</v>
      </c>
      <c r="O69" s="36">
        <v>0</v>
      </c>
      <c r="P69" s="36">
        <v>7978</v>
      </c>
      <c r="Q69" s="43">
        <v>0</v>
      </c>
      <c r="R69" s="36">
        <v>0</v>
      </c>
      <c r="S69" s="36">
        <v>7854</v>
      </c>
      <c r="T69" s="43">
        <v>0</v>
      </c>
      <c r="U69" s="36">
        <v>4</v>
      </c>
      <c r="V69" s="36">
        <v>7553</v>
      </c>
      <c r="W69" s="43">
        <v>5.2899999999999996E-4</v>
      </c>
      <c r="X69" s="36">
        <v>36</v>
      </c>
      <c r="Y69" s="36">
        <v>7788</v>
      </c>
      <c r="Z69" s="43">
        <v>4.6220000000000002E-3</v>
      </c>
      <c r="AA69" s="36">
        <v>117</v>
      </c>
      <c r="AB69" s="36">
        <v>7312</v>
      </c>
      <c r="AC69" s="43">
        <v>1.6001000000000001E-2</v>
      </c>
      <c r="AD69" s="36">
        <v>0</v>
      </c>
      <c r="AE69" s="36">
        <v>6842</v>
      </c>
      <c r="AF69" s="44">
        <v>0</v>
      </c>
    </row>
    <row r="70" spans="2:32" x14ac:dyDescent="0.2">
      <c r="B70" s="42" t="s">
        <v>15</v>
      </c>
      <c r="C70" s="36">
        <v>0</v>
      </c>
      <c r="D70" s="36">
        <v>1586</v>
      </c>
      <c r="E70" s="43">
        <v>0</v>
      </c>
      <c r="F70" s="36">
        <v>0</v>
      </c>
      <c r="G70" s="36">
        <v>1200</v>
      </c>
      <c r="H70" s="43">
        <v>0</v>
      </c>
      <c r="I70" s="36">
        <v>0</v>
      </c>
      <c r="J70" s="36">
        <v>1284</v>
      </c>
      <c r="K70" s="43">
        <v>0</v>
      </c>
      <c r="L70" s="36">
        <v>0</v>
      </c>
      <c r="M70" s="36">
        <v>1212</v>
      </c>
      <c r="N70" s="43">
        <v>0</v>
      </c>
      <c r="O70" s="36">
        <v>0</v>
      </c>
      <c r="P70" s="36">
        <v>1022</v>
      </c>
      <c r="Q70" s="43">
        <v>0</v>
      </c>
      <c r="R70" s="36">
        <v>0</v>
      </c>
      <c r="S70" s="36">
        <v>711</v>
      </c>
      <c r="T70" s="43">
        <v>0</v>
      </c>
      <c r="U70" s="36">
        <v>0</v>
      </c>
      <c r="V70" s="36">
        <v>746</v>
      </c>
      <c r="W70" s="43">
        <v>0</v>
      </c>
      <c r="X70" s="36">
        <v>0</v>
      </c>
      <c r="Y70" s="36">
        <v>755</v>
      </c>
      <c r="Z70" s="43">
        <v>0</v>
      </c>
      <c r="AA70" s="36">
        <v>0</v>
      </c>
      <c r="AB70" s="36">
        <v>469</v>
      </c>
      <c r="AC70" s="43">
        <v>0</v>
      </c>
      <c r="AD70" s="36">
        <v>0</v>
      </c>
      <c r="AE70" s="36">
        <v>618</v>
      </c>
      <c r="AF70" s="44">
        <v>0</v>
      </c>
    </row>
    <row r="71" spans="2:32" x14ac:dyDescent="0.2">
      <c r="B71" s="42" t="s">
        <v>16</v>
      </c>
      <c r="C71" s="36">
        <v>0</v>
      </c>
      <c r="D71" s="36">
        <v>7315</v>
      </c>
      <c r="E71" s="43">
        <v>0</v>
      </c>
      <c r="F71" s="36">
        <v>0</v>
      </c>
      <c r="G71" s="36">
        <v>6991</v>
      </c>
      <c r="H71" s="43">
        <v>0</v>
      </c>
      <c r="I71" s="36">
        <v>0</v>
      </c>
      <c r="J71" s="36">
        <v>6520</v>
      </c>
      <c r="K71" s="43">
        <v>0</v>
      </c>
      <c r="L71" s="36">
        <v>0</v>
      </c>
      <c r="M71" s="36">
        <v>6080</v>
      </c>
      <c r="N71" s="43">
        <v>0</v>
      </c>
      <c r="O71" s="36">
        <v>0</v>
      </c>
      <c r="P71" s="36">
        <v>5712</v>
      </c>
      <c r="Q71" s="43">
        <v>0</v>
      </c>
      <c r="R71" s="36">
        <v>0</v>
      </c>
      <c r="S71" s="36">
        <v>5368</v>
      </c>
      <c r="T71" s="43">
        <v>0</v>
      </c>
      <c r="U71" s="36">
        <v>9</v>
      </c>
      <c r="V71" s="36">
        <v>5224</v>
      </c>
      <c r="W71" s="43">
        <v>1.722E-3</v>
      </c>
      <c r="X71" s="36">
        <v>10</v>
      </c>
      <c r="Y71" s="36">
        <v>5225</v>
      </c>
      <c r="Z71" s="43">
        <v>1.913E-3</v>
      </c>
      <c r="AA71" s="36">
        <v>12</v>
      </c>
      <c r="AB71" s="36">
        <v>4869</v>
      </c>
      <c r="AC71" s="43">
        <v>2.464E-3</v>
      </c>
      <c r="AD71" s="36">
        <v>0</v>
      </c>
      <c r="AE71" s="36">
        <v>4703</v>
      </c>
      <c r="AF71" s="44">
        <v>0</v>
      </c>
    </row>
    <row r="72" spans="2:32" x14ac:dyDescent="0.2">
      <c r="B72" s="42" t="s">
        <v>17</v>
      </c>
      <c r="C72" s="36">
        <v>67</v>
      </c>
      <c r="D72" s="36">
        <v>7387</v>
      </c>
      <c r="E72" s="43">
        <v>9.0690000000000007E-3</v>
      </c>
      <c r="F72" s="36">
        <v>41</v>
      </c>
      <c r="G72" s="36">
        <v>7353</v>
      </c>
      <c r="H72" s="43">
        <v>5.5750000000000001E-3</v>
      </c>
      <c r="I72" s="36">
        <v>56</v>
      </c>
      <c r="J72" s="36">
        <v>6943</v>
      </c>
      <c r="K72" s="43">
        <v>8.0649999999999993E-3</v>
      </c>
      <c r="L72" s="36">
        <v>48</v>
      </c>
      <c r="M72" s="36">
        <v>6778</v>
      </c>
      <c r="N72" s="43">
        <v>7.0809999999999996E-3</v>
      </c>
      <c r="O72" s="36">
        <v>64</v>
      </c>
      <c r="P72" s="36">
        <v>6820</v>
      </c>
      <c r="Q72" s="43">
        <v>9.384E-3</v>
      </c>
      <c r="R72" s="36">
        <v>56</v>
      </c>
      <c r="S72" s="36">
        <v>6828</v>
      </c>
      <c r="T72" s="43">
        <v>8.201E-3</v>
      </c>
      <c r="U72" s="36">
        <v>63</v>
      </c>
      <c r="V72" s="36">
        <v>6830</v>
      </c>
      <c r="W72" s="43">
        <v>9.2239999999999996E-3</v>
      </c>
      <c r="X72" s="36">
        <v>58</v>
      </c>
      <c r="Y72" s="36">
        <v>6742</v>
      </c>
      <c r="Z72" s="43">
        <v>8.6020000000000003E-3</v>
      </c>
      <c r="AA72" s="36">
        <v>76</v>
      </c>
      <c r="AB72" s="36">
        <v>6425</v>
      </c>
      <c r="AC72" s="43">
        <v>1.1828E-2</v>
      </c>
      <c r="AD72" s="36">
        <v>0</v>
      </c>
      <c r="AE72" s="36">
        <v>6214</v>
      </c>
      <c r="AF72" s="44">
        <v>0</v>
      </c>
    </row>
    <row r="73" spans="2:32" x14ac:dyDescent="0.2">
      <c r="B73" s="42" t="s">
        <v>18</v>
      </c>
      <c r="C73" s="36">
        <v>0</v>
      </c>
      <c r="D73" s="36">
        <v>8642</v>
      </c>
      <c r="E73" s="43">
        <v>0</v>
      </c>
      <c r="F73" s="36">
        <v>0</v>
      </c>
      <c r="G73" s="36">
        <v>8262</v>
      </c>
      <c r="H73" s="43">
        <v>0</v>
      </c>
      <c r="I73" s="36">
        <v>0</v>
      </c>
      <c r="J73" s="36">
        <v>7462</v>
      </c>
      <c r="K73" s="43">
        <v>0</v>
      </c>
      <c r="L73" s="36">
        <v>0</v>
      </c>
      <c r="M73" s="36">
        <v>7098</v>
      </c>
      <c r="N73" s="43">
        <v>0</v>
      </c>
      <c r="O73" s="36">
        <v>0</v>
      </c>
      <c r="P73" s="36">
        <v>6837</v>
      </c>
      <c r="Q73" s="43">
        <v>0</v>
      </c>
      <c r="R73" s="36">
        <v>11</v>
      </c>
      <c r="S73" s="36">
        <v>6550</v>
      </c>
      <c r="T73" s="43">
        <v>1.6789999999999999E-3</v>
      </c>
      <c r="U73" s="36">
        <v>15</v>
      </c>
      <c r="V73" s="36">
        <v>6181</v>
      </c>
      <c r="W73" s="43">
        <v>2.4260000000000002E-3</v>
      </c>
      <c r="X73" s="36">
        <v>18</v>
      </c>
      <c r="Y73" s="36">
        <v>5575</v>
      </c>
      <c r="Z73" s="43">
        <v>3.228E-3</v>
      </c>
      <c r="AA73" s="36">
        <v>26</v>
      </c>
      <c r="AB73" s="36">
        <v>4834</v>
      </c>
      <c r="AC73" s="43">
        <v>5.378E-3</v>
      </c>
      <c r="AD73" s="36">
        <v>0</v>
      </c>
      <c r="AE73" s="36">
        <v>4646</v>
      </c>
      <c r="AF73" s="44">
        <v>0</v>
      </c>
    </row>
    <row r="74" spans="2:32" x14ac:dyDescent="0.2">
      <c r="B74" s="42" t="s">
        <v>19</v>
      </c>
      <c r="C74" s="36">
        <v>808</v>
      </c>
      <c r="D74" s="36">
        <v>15126</v>
      </c>
      <c r="E74" s="43">
        <v>5.3416999999999999E-2</v>
      </c>
      <c r="F74" s="36">
        <v>810</v>
      </c>
      <c r="G74" s="36">
        <v>15132</v>
      </c>
      <c r="H74" s="43">
        <v>5.3527999999999999E-2</v>
      </c>
      <c r="I74" s="36">
        <v>833</v>
      </c>
      <c r="J74" s="36">
        <v>15596</v>
      </c>
      <c r="K74" s="43">
        <v>5.3411E-2</v>
      </c>
      <c r="L74" s="36">
        <v>824</v>
      </c>
      <c r="M74" s="36">
        <v>14925</v>
      </c>
      <c r="N74" s="43">
        <v>5.5209000000000001E-2</v>
      </c>
      <c r="O74" s="36">
        <v>822</v>
      </c>
      <c r="P74" s="36">
        <v>14571</v>
      </c>
      <c r="Q74" s="43">
        <v>5.6412999999999998E-2</v>
      </c>
      <c r="R74" s="36">
        <v>708</v>
      </c>
      <c r="S74" s="36">
        <v>14035</v>
      </c>
      <c r="T74" s="43">
        <v>5.0444999999999997E-2</v>
      </c>
      <c r="U74" s="36">
        <v>743</v>
      </c>
      <c r="V74" s="36">
        <v>13114</v>
      </c>
      <c r="W74" s="43">
        <v>5.6656999999999999E-2</v>
      </c>
      <c r="X74" s="36">
        <v>740</v>
      </c>
      <c r="Y74" s="36">
        <v>12562</v>
      </c>
      <c r="Z74" s="43">
        <v>5.8907000000000001E-2</v>
      </c>
      <c r="AA74" s="36">
        <v>749</v>
      </c>
      <c r="AB74" s="36">
        <v>11581</v>
      </c>
      <c r="AC74" s="43">
        <v>6.4673999999999995E-2</v>
      </c>
      <c r="AD74" s="36">
        <v>764</v>
      </c>
      <c r="AE74" s="36">
        <v>10636</v>
      </c>
      <c r="AF74" s="44">
        <v>7.1831000000000006E-2</v>
      </c>
    </row>
    <row r="75" spans="2:32" x14ac:dyDescent="0.2">
      <c r="B75" s="42" t="s">
        <v>20</v>
      </c>
      <c r="C75" s="36">
        <v>0</v>
      </c>
      <c r="D75" s="36">
        <v>10707</v>
      </c>
      <c r="E75" s="43">
        <v>0</v>
      </c>
      <c r="F75" s="36">
        <v>0</v>
      </c>
      <c r="G75" s="36">
        <v>10283</v>
      </c>
      <c r="H75" s="43">
        <v>0</v>
      </c>
      <c r="I75" s="36">
        <v>0</v>
      </c>
      <c r="J75" s="36">
        <v>9804</v>
      </c>
      <c r="K75" s="43">
        <v>0</v>
      </c>
      <c r="L75" s="36">
        <v>0</v>
      </c>
      <c r="M75" s="36">
        <v>9513</v>
      </c>
      <c r="N75" s="43">
        <v>0</v>
      </c>
      <c r="O75" s="36">
        <v>0</v>
      </c>
      <c r="P75" s="36">
        <v>9218</v>
      </c>
      <c r="Q75" s="43">
        <v>0</v>
      </c>
      <c r="R75" s="36">
        <v>8</v>
      </c>
      <c r="S75" s="36">
        <v>9000</v>
      </c>
      <c r="T75" s="43">
        <v>8.8800000000000001E-4</v>
      </c>
      <c r="U75" s="36">
        <v>16</v>
      </c>
      <c r="V75" s="36">
        <v>8513</v>
      </c>
      <c r="W75" s="43">
        <v>1.879E-3</v>
      </c>
      <c r="X75" s="36">
        <v>32</v>
      </c>
      <c r="Y75" s="36">
        <v>8329</v>
      </c>
      <c r="Z75" s="43">
        <v>3.8409999999999998E-3</v>
      </c>
      <c r="AA75" s="36">
        <v>40</v>
      </c>
      <c r="AB75" s="36">
        <v>8309</v>
      </c>
      <c r="AC75" s="43">
        <v>4.8139999999999997E-3</v>
      </c>
      <c r="AD75" s="36">
        <v>0</v>
      </c>
      <c r="AE75" s="36">
        <v>8199</v>
      </c>
      <c r="AF75" s="44">
        <v>0</v>
      </c>
    </row>
    <row r="76" spans="2:32" x14ac:dyDescent="0.2">
      <c r="B76" s="42" t="s">
        <v>21</v>
      </c>
      <c r="C76" s="36">
        <v>0</v>
      </c>
      <c r="D76" s="36">
        <v>5451</v>
      </c>
      <c r="E76" s="43">
        <v>0</v>
      </c>
      <c r="F76" s="36">
        <v>0</v>
      </c>
      <c r="G76" s="36">
        <v>5366</v>
      </c>
      <c r="H76" s="43">
        <v>0</v>
      </c>
      <c r="I76" s="36">
        <v>0</v>
      </c>
      <c r="J76" s="36">
        <v>5328</v>
      </c>
      <c r="K76" s="43">
        <v>0</v>
      </c>
      <c r="L76" s="36">
        <v>0</v>
      </c>
      <c r="M76" s="36">
        <v>5260</v>
      </c>
      <c r="N76" s="43">
        <v>0</v>
      </c>
      <c r="O76" s="36">
        <v>0</v>
      </c>
      <c r="P76" s="36">
        <v>4917</v>
      </c>
      <c r="Q76" s="43">
        <v>0</v>
      </c>
      <c r="R76" s="36">
        <v>0</v>
      </c>
      <c r="S76" s="36">
        <v>4607</v>
      </c>
      <c r="T76" s="43">
        <v>0</v>
      </c>
      <c r="U76" s="36">
        <v>0</v>
      </c>
      <c r="V76" s="36">
        <v>4220</v>
      </c>
      <c r="W76" s="43">
        <v>0</v>
      </c>
      <c r="X76" s="36">
        <v>0</v>
      </c>
      <c r="Y76" s="36">
        <v>3827</v>
      </c>
      <c r="Z76" s="43">
        <v>0</v>
      </c>
      <c r="AA76" s="36">
        <v>0</v>
      </c>
      <c r="AB76" s="36">
        <v>3425</v>
      </c>
      <c r="AC76" s="43">
        <v>0</v>
      </c>
      <c r="AD76" s="36">
        <v>0</v>
      </c>
      <c r="AE76" s="36">
        <v>3162</v>
      </c>
      <c r="AF76" s="44">
        <v>0</v>
      </c>
    </row>
    <row r="77" spans="2:32" x14ac:dyDescent="0.2">
      <c r="B77" s="42" t="s">
        <v>22</v>
      </c>
      <c r="C77" s="36">
        <v>0</v>
      </c>
      <c r="D77" s="36">
        <v>3411</v>
      </c>
      <c r="E77" s="43">
        <v>0</v>
      </c>
      <c r="F77" s="36">
        <v>0</v>
      </c>
      <c r="G77" s="36">
        <v>3275</v>
      </c>
      <c r="H77" s="43">
        <v>0</v>
      </c>
      <c r="I77" s="36">
        <v>0</v>
      </c>
      <c r="J77" s="36">
        <v>3131</v>
      </c>
      <c r="K77" s="43">
        <v>0</v>
      </c>
      <c r="L77" s="36">
        <v>0</v>
      </c>
      <c r="M77" s="36">
        <v>2970</v>
      </c>
      <c r="N77" s="43">
        <v>0</v>
      </c>
      <c r="O77" s="36">
        <v>0</v>
      </c>
      <c r="P77" s="36">
        <v>2752</v>
      </c>
      <c r="Q77" s="43">
        <v>0</v>
      </c>
      <c r="R77" s="36">
        <v>0</v>
      </c>
      <c r="S77" s="36">
        <v>2389</v>
      </c>
      <c r="T77" s="43">
        <v>0</v>
      </c>
      <c r="U77" s="36">
        <v>0</v>
      </c>
      <c r="V77" s="36">
        <v>2207</v>
      </c>
      <c r="W77" s="43">
        <v>0</v>
      </c>
      <c r="X77" s="36">
        <v>0</v>
      </c>
      <c r="Y77" s="36">
        <v>1922</v>
      </c>
      <c r="Z77" s="43">
        <v>0</v>
      </c>
      <c r="AA77" s="36">
        <v>0</v>
      </c>
      <c r="AB77" s="36">
        <v>1650</v>
      </c>
      <c r="AC77" s="43">
        <v>0</v>
      </c>
      <c r="AD77" s="36">
        <v>0</v>
      </c>
      <c r="AE77" s="36">
        <v>1663</v>
      </c>
      <c r="AF77" s="44">
        <v>0</v>
      </c>
    </row>
    <row r="78" spans="2:32" x14ac:dyDescent="0.2">
      <c r="B78" s="42" t="s">
        <v>23</v>
      </c>
      <c r="C78" s="36">
        <v>0</v>
      </c>
      <c r="D78" s="36">
        <v>8729</v>
      </c>
      <c r="E78" s="43">
        <v>0</v>
      </c>
      <c r="F78" s="36">
        <v>0</v>
      </c>
      <c r="G78" s="36">
        <v>8725</v>
      </c>
      <c r="H78" s="43">
        <v>0</v>
      </c>
      <c r="I78" s="36">
        <v>0</v>
      </c>
      <c r="J78" s="36">
        <v>8368</v>
      </c>
      <c r="K78" s="43">
        <v>0</v>
      </c>
      <c r="L78" s="36">
        <v>0</v>
      </c>
      <c r="M78" s="36">
        <v>8279</v>
      </c>
      <c r="N78" s="43">
        <v>0</v>
      </c>
      <c r="O78" s="36">
        <v>0</v>
      </c>
      <c r="P78" s="36">
        <v>8047</v>
      </c>
      <c r="Q78" s="43">
        <v>0</v>
      </c>
      <c r="R78" s="36">
        <v>13</v>
      </c>
      <c r="S78" s="36">
        <v>7988</v>
      </c>
      <c r="T78" s="43">
        <v>1.627E-3</v>
      </c>
      <c r="U78" s="36">
        <v>32</v>
      </c>
      <c r="V78" s="36">
        <v>7927</v>
      </c>
      <c r="W78" s="43">
        <v>4.0359999999999997E-3</v>
      </c>
      <c r="X78" s="36">
        <v>42</v>
      </c>
      <c r="Y78" s="36">
        <v>7748</v>
      </c>
      <c r="Z78" s="43">
        <v>5.4200000000000003E-3</v>
      </c>
      <c r="AA78" s="36">
        <v>46</v>
      </c>
      <c r="AB78" s="36">
        <v>7781</v>
      </c>
      <c r="AC78" s="43">
        <v>5.9109999999999996E-3</v>
      </c>
      <c r="AD78" s="36">
        <v>0</v>
      </c>
      <c r="AE78" s="36">
        <v>7817</v>
      </c>
      <c r="AF78" s="44">
        <v>0</v>
      </c>
    </row>
    <row r="79" spans="2:32" x14ac:dyDescent="0.2">
      <c r="B79" s="42" t="s">
        <v>24</v>
      </c>
      <c r="C79" s="36">
        <v>0</v>
      </c>
      <c r="D79" s="36">
        <v>8326</v>
      </c>
      <c r="E79" s="43">
        <v>0</v>
      </c>
      <c r="F79" s="36">
        <v>0</v>
      </c>
      <c r="G79" s="36">
        <v>8183</v>
      </c>
      <c r="H79" s="43">
        <v>0</v>
      </c>
      <c r="I79" s="36">
        <v>0</v>
      </c>
      <c r="J79" s="36">
        <v>7724</v>
      </c>
      <c r="K79" s="43">
        <v>0</v>
      </c>
      <c r="L79" s="36">
        <v>0</v>
      </c>
      <c r="M79" s="36">
        <v>7548</v>
      </c>
      <c r="N79" s="43">
        <v>0</v>
      </c>
      <c r="O79" s="36">
        <v>0</v>
      </c>
      <c r="P79" s="36">
        <v>7355</v>
      </c>
      <c r="Q79" s="43">
        <v>0</v>
      </c>
      <c r="R79" s="36">
        <v>10</v>
      </c>
      <c r="S79" s="36">
        <v>7058</v>
      </c>
      <c r="T79" s="43">
        <v>1.4159999999999999E-3</v>
      </c>
      <c r="U79" s="36">
        <v>23</v>
      </c>
      <c r="V79" s="36">
        <v>6989</v>
      </c>
      <c r="W79" s="43">
        <v>3.29E-3</v>
      </c>
      <c r="X79" s="36">
        <v>45</v>
      </c>
      <c r="Y79" s="36">
        <v>6581</v>
      </c>
      <c r="Z79" s="43">
        <v>6.8370000000000002E-3</v>
      </c>
      <c r="AA79" s="36">
        <v>44</v>
      </c>
      <c r="AB79" s="36">
        <v>6408</v>
      </c>
      <c r="AC79" s="43">
        <v>6.8659999999999997E-3</v>
      </c>
      <c r="AD79" s="36">
        <v>0</v>
      </c>
      <c r="AE79" s="36">
        <v>6096</v>
      </c>
      <c r="AF79" s="44">
        <v>0</v>
      </c>
    </row>
    <row r="80" spans="2:32" x14ac:dyDescent="0.2">
      <c r="B80" s="42" t="s">
        <v>25</v>
      </c>
      <c r="C80" s="36">
        <v>136</v>
      </c>
      <c r="D80" s="36">
        <v>8852</v>
      </c>
      <c r="E80" s="43">
        <v>1.5363E-2</v>
      </c>
      <c r="F80" s="36">
        <v>131</v>
      </c>
      <c r="G80" s="36">
        <v>8712</v>
      </c>
      <c r="H80" s="43">
        <v>1.5036000000000001E-2</v>
      </c>
      <c r="I80" s="36">
        <v>0</v>
      </c>
      <c r="J80" s="36">
        <v>8559</v>
      </c>
      <c r="K80" s="43">
        <v>0</v>
      </c>
      <c r="L80" s="36">
        <v>0</v>
      </c>
      <c r="M80" s="36">
        <v>8347</v>
      </c>
      <c r="N80" s="43">
        <v>0</v>
      </c>
      <c r="O80" s="36">
        <v>0</v>
      </c>
      <c r="P80" s="36">
        <v>8495</v>
      </c>
      <c r="Q80" s="43">
        <v>0</v>
      </c>
      <c r="R80" s="36">
        <v>23</v>
      </c>
      <c r="S80" s="36">
        <v>8628</v>
      </c>
      <c r="T80" s="43">
        <v>2.6649999999999998E-3</v>
      </c>
      <c r="U80" s="36">
        <v>48</v>
      </c>
      <c r="V80" s="36">
        <v>8881</v>
      </c>
      <c r="W80" s="43">
        <v>5.4039999999999999E-3</v>
      </c>
      <c r="X80" s="36">
        <v>58</v>
      </c>
      <c r="Y80" s="36">
        <v>8895</v>
      </c>
      <c r="Z80" s="43">
        <v>6.5199999999999998E-3</v>
      </c>
      <c r="AA80" s="36">
        <v>45</v>
      </c>
      <c r="AB80" s="36">
        <v>8824</v>
      </c>
      <c r="AC80" s="43">
        <v>5.0990000000000002E-3</v>
      </c>
      <c r="AD80" s="36">
        <v>70</v>
      </c>
      <c r="AE80" s="36">
        <v>8806</v>
      </c>
      <c r="AF80" s="44">
        <v>7.9489999999999995E-3</v>
      </c>
    </row>
    <row r="81" spans="2:32" x14ac:dyDescent="0.2">
      <c r="B81" s="42" t="s">
        <v>26</v>
      </c>
      <c r="C81" s="36">
        <v>0</v>
      </c>
      <c r="D81" s="36">
        <v>14490</v>
      </c>
      <c r="E81" s="43">
        <v>0</v>
      </c>
      <c r="F81" s="36">
        <v>0</v>
      </c>
      <c r="G81" s="36">
        <v>15100</v>
      </c>
      <c r="H81" s="43">
        <v>0</v>
      </c>
      <c r="I81" s="36">
        <v>0</v>
      </c>
      <c r="J81" s="36">
        <v>15411</v>
      </c>
      <c r="K81" s="43">
        <v>0</v>
      </c>
      <c r="L81" s="36">
        <v>0</v>
      </c>
      <c r="M81" s="36">
        <v>15845</v>
      </c>
      <c r="N81" s="43">
        <v>0</v>
      </c>
      <c r="O81" s="36">
        <v>32</v>
      </c>
      <c r="P81" s="36">
        <v>16086</v>
      </c>
      <c r="Q81" s="43">
        <v>1.9889999999999999E-3</v>
      </c>
      <c r="R81" s="36">
        <v>78</v>
      </c>
      <c r="S81" s="36">
        <v>16606</v>
      </c>
      <c r="T81" s="43">
        <v>4.6969999999999998E-3</v>
      </c>
      <c r="U81" s="36">
        <v>142</v>
      </c>
      <c r="V81" s="36">
        <v>17006</v>
      </c>
      <c r="W81" s="43">
        <v>8.3490000000000005E-3</v>
      </c>
      <c r="X81" s="36">
        <v>164</v>
      </c>
      <c r="Y81" s="36">
        <v>17336</v>
      </c>
      <c r="Z81" s="43">
        <v>9.4599999999999997E-3</v>
      </c>
      <c r="AA81" s="36">
        <v>156</v>
      </c>
      <c r="AB81" s="36">
        <v>17552</v>
      </c>
      <c r="AC81" s="43">
        <v>8.8870000000000008E-3</v>
      </c>
      <c r="AD81" s="36">
        <v>145</v>
      </c>
      <c r="AE81" s="36">
        <v>17691</v>
      </c>
      <c r="AF81" s="44">
        <v>8.1960000000000002E-3</v>
      </c>
    </row>
    <row r="82" spans="2:32" ht="15" x14ac:dyDescent="0.25">
      <c r="B82" s="37" t="s">
        <v>27</v>
      </c>
      <c r="C82" s="38">
        <f>SUBTOTAL(109,'Enrollment by Program Level'!$C$68:$C$81)</f>
        <v>1068</v>
      </c>
      <c r="D82" s="38">
        <f>SUBTOTAL(109,'Enrollment by Program Level'!$D$68:$D$81)</f>
        <v>119513</v>
      </c>
      <c r="E82" s="45">
        <f>'Enrollment by Program Level'!$C$82 / 'Enrollment by Program Level'!$D$82</f>
        <v>8.9362663475939848E-3</v>
      </c>
      <c r="F82" s="38">
        <f>SUBTOTAL(109,'Enrollment by Program Level'!$F$68:$F$81)</f>
        <v>1037</v>
      </c>
      <c r="G82" s="38">
        <f>SUBTOTAL(109,'Enrollment by Program Level'!$G$68:$G$81)</f>
        <v>118224</v>
      </c>
      <c r="H82" s="45">
        <f>'Enrollment by Program Level'!$F$82 / 'Enrollment by Program Level'!$G$82</f>
        <v>8.7714846393287318E-3</v>
      </c>
      <c r="I82" s="38">
        <f>SUBTOTAL(109,'Enrollment by Program Level'!$I$68:$I$81)</f>
        <v>889</v>
      </c>
      <c r="J82" s="38">
        <f>SUBTOTAL(109,'Enrollment by Program Level'!$J$68:$J$81)</f>
        <v>114688</v>
      </c>
      <c r="K82" s="45">
        <f>'Enrollment by Program Level'!$I$82 / 'Enrollment by Program Level'!$J$82</f>
        <v>7.75146484375E-3</v>
      </c>
      <c r="L82" s="38">
        <f>SUBTOTAL(109,'Enrollment by Program Level'!$L$68:$L$81)</f>
        <v>872</v>
      </c>
      <c r="M82" s="38">
        <f>SUBTOTAL(109,'Enrollment by Program Level'!$M$68:$M$81)</f>
        <v>112225</v>
      </c>
      <c r="N82" s="45">
        <f>'Enrollment by Program Level'!$L$82 / 'Enrollment by Program Level'!$M$82</f>
        <v>7.7701047003787037E-3</v>
      </c>
      <c r="O82" s="38">
        <f>SUBTOTAL(109,'Enrollment by Program Level'!$O$68:$O$81)</f>
        <v>918</v>
      </c>
      <c r="P82" s="38">
        <f>SUBTOTAL(109,'Enrollment by Program Level'!$P$68:$P$81)</f>
        <v>109808</v>
      </c>
      <c r="Q82" s="45">
        <f>'Enrollment by Program Level'!$O$82 / 'Enrollment by Program Level'!$P$82</f>
        <v>8.3600466268395745E-3</v>
      </c>
      <c r="R82" s="38">
        <f>SUBTOTAL(109,'Enrollment by Program Level'!$R$68:$R$81)</f>
        <v>907</v>
      </c>
      <c r="S82" s="38">
        <f>SUBTOTAL(109,'Enrollment by Program Level'!$S$68:$S$81)</f>
        <v>107399</v>
      </c>
      <c r="T82" s="45">
        <f>'Enrollment by Program Level'!$R$82 / 'Enrollment by Program Level'!$S$82</f>
        <v>8.4451438095326774E-3</v>
      </c>
      <c r="U82" s="38">
        <f>SUBTOTAL(109,'Enrollment by Program Level'!$U$68:$U$81)</f>
        <v>1095</v>
      </c>
      <c r="V82" s="38">
        <f>SUBTOTAL(109,'Enrollment by Program Level'!$V$68:$V$81)</f>
        <v>105049</v>
      </c>
      <c r="W82" s="45">
        <f>'Enrollment by Program Level'!$U$82 / 'Enrollment by Program Level'!$V$82</f>
        <v>1.0423707031956516E-2</v>
      </c>
      <c r="X82" s="38">
        <f>SUBTOTAL(109,'Enrollment by Program Level'!$X$68:$X$81)</f>
        <v>1212</v>
      </c>
      <c r="Y82" s="38">
        <f>SUBTOTAL(109,'Enrollment by Program Level'!$Y$68:$Y$81)</f>
        <v>102572</v>
      </c>
      <c r="Z82" s="45">
        <f>'Enrollment by Program Level'!$X$82 / 'Enrollment by Program Level'!$Y$82</f>
        <v>1.1816090161057599E-2</v>
      </c>
      <c r="AA82" s="38">
        <f>SUBTOTAL(109,'Enrollment by Program Level'!$AA$68:$AA$81)</f>
        <v>1323</v>
      </c>
      <c r="AB82" s="38">
        <f>SUBTOTAL(109,'Enrollment by Program Level'!$AB$68:$AB$81)</f>
        <v>98363</v>
      </c>
      <c r="AC82" s="45">
        <f>'Enrollment by Program Level'!$AA$82 / 'Enrollment by Program Level'!$AB$82</f>
        <v>1.3450179437390075E-2</v>
      </c>
      <c r="AD82" s="38">
        <f>SUBTOTAL(109,'Enrollment by Program Level'!$AD$68:$AD$81)</f>
        <v>979</v>
      </c>
      <c r="AE82" s="38">
        <f>SUBTOTAL(109,'Enrollment by Program Level'!$AE$68:$AE$81)</f>
        <v>95782</v>
      </c>
      <c r="AF82" s="46">
        <f>'Enrollment by Program Level'!$AD$82 / 'Enrollment by Program Level'!$AE$82</f>
        <v>1.0221127142886973E-2</v>
      </c>
    </row>
    <row r="85" spans="2:32" ht="23.25" customHeight="1" x14ac:dyDescent="0.2">
      <c r="B85" s="127" t="s">
        <v>263</v>
      </c>
      <c r="C85" s="127"/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7"/>
      <c r="AE85" s="127"/>
      <c r="AF85" s="127"/>
    </row>
    <row r="86" spans="2:32" ht="22.5" customHeight="1" x14ac:dyDescent="0.2">
      <c r="B86" s="134" t="s">
        <v>1</v>
      </c>
      <c r="C86" s="133" t="str">
        <f>CONCATENATE(IF(RIGHT(Parameters!B1,1) = "1","Fall ", "Spring "),IF(RIGHT(Parameters!B1,1) = "1",LEFT(Parameters!B1,4) -9, LEFT(Parameters!B1,4) - 8))</f>
        <v>Fall 2010</v>
      </c>
      <c r="D86" s="133"/>
      <c r="E86" s="133"/>
      <c r="F86" s="133" t="str">
        <f>CONCATENATE(IF(RIGHT(Parameters!B1,1) = "1","Fall ", "Spring "),IF(RIGHT(Parameters!B1,1) = "1",LEFT(Parameters!B1,4) -8, LEFT(Parameters!B1,4) - 7))</f>
        <v>Fall 2011</v>
      </c>
      <c r="G86" s="133"/>
      <c r="H86" s="133"/>
      <c r="I86" s="133" t="str">
        <f>CONCATENATE(IF(RIGHT(Parameters!B1,1) = "1","Fall ", "Spring "),IF(RIGHT(Parameters!B1,1) = "1",LEFT(Parameters!B1,4) -7, LEFT(Parameters!B1,4) - 6))</f>
        <v>Fall 2012</v>
      </c>
      <c r="J86" s="133"/>
      <c r="K86" s="133"/>
      <c r="L86" s="133" t="str">
        <f>CONCATENATE(IF(RIGHT(Parameters!B1,1) = "1","Fall ", "Spring "),IF(RIGHT(Parameters!B1,1) = "1",LEFT(Parameters!B1,4) -6, LEFT(Parameters!B1,4) - 5))</f>
        <v>Fall 2013</v>
      </c>
      <c r="M86" s="133"/>
      <c r="N86" s="133"/>
      <c r="O86" s="133" t="str">
        <f>CONCATENATE(IF(RIGHT(Parameters!B1,1) = "1","Fall ", "Spring "),IF(RIGHT(Parameters!B1,1) = "1",LEFT(Parameters!B1,4) -5, LEFT(Parameters!B1,4) - 4))</f>
        <v>Fall 2014</v>
      </c>
      <c r="P86" s="133"/>
      <c r="Q86" s="133"/>
      <c r="R86" s="133" t="str">
        <f>CONCATENATE(IF(RIGHT(Parameters!B1,1) = "1","Fall ", "Spring "),IF(RIGHT(Parameters!B1,1) = "1",LEFT(Parameters!B1,4) -4, LEFT(Parameters!B1,4) - 3))</f>
        <v>Fall 2015</v>
      </c>
      <c r="S86" s="133"/>
      <c r="T86" s="133"/>
      <c r="U86" s="133" t="str">
        <f>CONCATENATE(IF(RIGHT(Parameters!B1,1) = "1","Fall ", "Spring "),IF(RIGHT(Parameters!B1,1) = "1",LEFT(Parameters!B1,4) -3, LEFT(Parameters!B1,4) -2 ))</f>
        <v>Fall 2016</v>
      </c>
      <c r="V86" s="133"/>
      <c r="W86" s="133"/>
      <c r="X86" s="133" t="str">
        <f>CONCATENATE(IF(RIGHT(Parameters!B1,1) = "1","Fall ", "Spring "),IF(RIGHT(Parameters!B1,1) = "1",LEFT(Parameters!B1,4) -2, LEFT(Parameters!B1,4) -1 ))</f>
        <v>Fall 2017</v>
      </c>
      <c r="Y86" s="133"/>
      <c r="Z86" s="133"/>
      <c r="AA86" s="133" t="str">
        <f>CONCATENATE(IF(RIGHT(Parameters!B1,1) = "1","Fall ", "Spring "),IF(RIGHT(Parameters!B1,1) = "1",LEFT(Parameters!B1,4) -1, LEFT(Parameters!B1,4)  ))</f>
        <v>Fall 2018</v>
      </c>
      <c r="AB86" s="133"/>
      <c r="AC86" s="133"/>
      <c r="AD86" s="133" t="str">
        <f>CONCATENATE(IF(RIGHT(Parameters!B1,1) = "1","Fall ", "Spring "),IF(RIGHT(Parameters!B1,1) = "1",LEFT(Parameters!B1,4), LEFT(Parameters!B1,4) + 1))</f>
        <v>Fall 2019</v>
      </c>
      <c r="AE86" s="133"/>
      <c r="AF86" s="133"/>
    </row>
    <row r="87" spans="2:32" ht="55.5" customHeight="1" x14ac:dyDescent="0.2">
      <c r="B87" s="136"/>
      <c r="C87" s="19" t="s">
        <v>264</v>
      </c>
      <c r="D87" s="19" t="s">
        <v>82</v>
      </c>
      <c r="E87" s="19" t="s">
        <v>265</v>
      </c>
      <c r="F87" s="19" t="s">
        <v>264</v>
      </c>
      <c r="G87" s="19" t="s">
        <v>82</v>
      </c>
      <c r="H87" s="19" t="s">
        <v>265</v>
      </c>
      <c r="I87" s="19" t="s">
        <v>264</v>
      </c>
      <c r="J87" s="19" t="s">
        <v>82</v>
      </c>
      <c r="K87" s="19" t="s">
        <v>265</v>
      </c>
      <c r="L87" s="19" t="s">
        <v>264</v>
      </c>
      <c r="M87" s="19" t="s">
        <v>82</v>
      </c>
      <c r="N87" s="19" t="s">
        <v>265</v>
      </c>
      <c r="O87" s="19" t="s">
        <v>264</v>
      </c>
      <c r="P87" s="19" t="s">
        <v>82</v>
      </c>
      <c r="Q87" s="19" t="s">
        <v>265</v>
      </c>
      <c r="R87" s="19" t="s">
        <v>264</v>
      </c>
      <c r="S87" s="19" t="s">
        <v>82</v>
      </c>
      <c r="T87" s="19" t="s">
        <v>265</v>
      </c>
      <c r="U87" s="19" t="s">
        <v>264</v>
      </c>
      <c r="V87" s="19" t="s">
        <v>82</v>
      </c>
      <c r="W87" s="19" t="s">
        <v>265</v>
      </c>
      <c r="X87" s="19" t="s">
        <v>264</v>
      </c>
      <c r="Y87" s="19" t="s">
        <v>82</v>
      </c>
      <c r="Z87" s="19" t="s">
        <v>265</v>
      </c>
      <c r="AA87" s="19" t="s">
        <v>264</v>
      </c>
      <c r="AB87" s="19" t="s">
        <v>82</v>
      </c>
      <c r="AC87" s="19" t="s">
        <v>265</v>
      </c>
      <c r="AD87" s="19" t="s">
        <v>264</v>
      </c>
      <c r="AE87" s="19" t="s">
        <v>82</v>
      </c>
      <c r="AF87" s="19" t="s">
        <v>265</v>
      </c>
    </row>
    <row r="88" spans="2:32" ht="14.25" hidden="1" customHeight="1" x14ac:dyDescent="0.25">
      <c r="B88" s="47" t="s">
        <v>2</v>
      </c>
      <c r="C88" s="47" t="s">
        <v>84</v>
      </c>
      <c r="D88" s="47" t="s">
        <v>85</v>
      </c>
      <c r="E88" s="47" t="s">
        <v>86</v>
      </c>
      <c r="F88" s="47" t="s">
        <v>87</v>
      </c>
      <c r="G88" s="47" t="s">
        <v>88</v>
      </c>
      <c r="H88" s="47" t="s">
        <v>89</v>
      </c>
      <c r="I88" s="47" t="s">
        <v>90</v>
      </c>
      <c r="J88" s="47" t="s">
        <v>91</v>
      </c>
      <c r="K88" s="47" t="s">
        <v>92</v>
      </c>
      <c r="L88" s="47" t="s">
        <v>93</v>
      </c>
      <c r="M88" s="47" t="s">
        <v>94</v>
      </c>
      <c r="N88" s="47" t="s">
        <v>95</v>
      </c>
      <c r="O88" s="47" t="s">
        <v>96</v>
      </c>
      <c r="P88" s="47" t="s">
        <v>97</v>
      </c>
      <c r="Q88" s="47" t="s">
        <v>98</v>
      </c>
      <c r="R88" s="47" t="s">
        <v>99</v>
      </c>
      <c r="S88" s="47" t="s">
        <v>100</v>
      </c>
      <c r="T88" s="47" t="s">
        <v>101</v>
      </c>
      <c r="U88" s="47" t="s">
        <v>102</v>
      </c>
      <c r="V88" s="47" t="s">
        <v>103</v>
      </c>
      <c r="W88" s="47" t="s">
        <v>104</v>
      </c>
      <c r="X88" s="47" t="s">
        <v>105</v>
      </c>
      <c r="Y88" s="47" t="s">
        <v>106</v>
      </c>
      <c r="Z88" s="47" t="s">
        <v>147</v>
      </c>
      <c r="AA88" s="47" t="s">
        <v>108</v>
      </c>
      <c r="AB88" s="47" t="s">
        <v>109</v>
      </c>
      <c r="AC88" s="47" t="s">
        <v>110</v>
      </c>
      <c r="AD88" s="47" t="s">
        <v>111</v>
      </c>
      <c r="AE88" s="47" t="s">
        <v>112</v>
      </c>
      <c r="AF88" s="47" t="s">
        <v>113</v>
      </c>
    </row>
    <row r="89" spans="2:32" x14ac:dyDescent="0.2">
      <c r="B89" s="39" t="s">
        <v>13</v>
      </c>
      <c r="C89" s="33">
        <v>0</v>
      </c>
      <c r="D89" s="33">
        <v>10091</v>
      </c>
      <c r="E89" s="40">
        <v>0</v>
      </c>
      <c r="F89" s="33">
        <v>0</v>
      </c>
      <c r="G89" s="33">
        <v>10159</v>
      </c>
      <c r="H89" s="40">
        <v>0</v>
      </c>
      <c r="I89" s="33">
        <v>59</v>
      </c>
      <c r="J89" s="33">
        <v>9950</v>
      </c>
      <c r="K89" s="40">
        <v>5.9290000000000002E-3</v>
      </c>
      <c r="L89" s="33">
        <v>61</v>
      </c>
      <c r="M89" s="33">
        <v>10127</v>
      </c>
      <c r="N89" s="40">
        <v>6.0229999999999997E-3</v>
      </c>
      <c r="O89" s="33">
        <v>61</v>
      </c>
      <c r="P89" s="33">
        <v>9998</v>
      </c>
      <c r="Q89" s="40">
        <v>6.1009999999999997E-3</v>
      </c>
      <c r="R89" s="33">
        <v>47</v>
      </c>
      <c r="S89" s="33">
        <v>9777</v>
      </c>
      <c r="T89" s="40">
        <v>4.8069999999999996E-3</v>
      </c>
      <c r="U89" s="33">
        <v>48</v>
      </c>
      <c r="V89" s="33">
        <v>9658</v>
      </c>
      <c r="W89" s="40">
        <v>4.9690000000000003E-3</v>
      </c>
      <c r="X89" s="33">
        <v>54</v>
      </c>
      <c r="Y89" s="33">
        <v>9287</v>
      </c>
      <c r="Z89" s="40">
        <v>5.8139999999999997E-3</v>
      </c>
      <c r="AA89" s="33">
        <v>46</v>
      </c>
      <c r="AB89" s="33">
        <v>8924</v>
      </c>
      <c r="AC89" s="40">
        <v>5.1539999999999997E-3</v>
      </c>
      <c r="AD89" s="33">
        <v>58</v>
      </c>
      <c r="AE89" s="33">
        <v>8689</v>
      </c>
      <c r="AF89" s="41">
        <v>6.6750000000000004E-3</v>
      </c>
    </row>
    <row r="90" spans="2:32" x14ac:dyDescent="0.2">
      <c r="B90" s="42" t="s">
        <v>14</v>
      </c>
      <c r="C90" s="36">
        <v>0</v>
      </c>
      <c r="D90" s="36">
        <v>9400</v>
      </c>
      <c r="E90" s="43">
        <v>0</v>
      </c>
      <c r="F90" s="36">
        <v>0</v>
      </c>
      <c r="G90" s="36">
        <v>9483</v>
      </c>
      <c r="H90" s="43">
        <v>0</v>
      </c>
      <c r="I90" s="36">
        <v>0</v>
      </c>
      <c r="J90" s="36">
        <v>8608</v>
      </c>
      <c r="K90" s="43">
        <v>0</v>
      </c>
      <c r="L90" s="36">
        <v>0</v>
      </c>
      <c r="M90" s="36">
        <v>8243</v>
      </c>
      <c r="N90" s="43">
        <v>0</v>
      </c>
      <c r="O90" s="36">
        <v>0</v>
      </c>
      <c r="P90" s="36">
        <v>7978</v>
      </c>
      <c r="Q90" s="43">
        <v>0</v>
      </c>
      <c r="R90" s="36">
        <v>0</v>
      </c>
      <c r="S90" s="36">
        <v>7854</v>
      </c>
      <c r="T90" s="43">
        <v>0</v>
      </c>
      <c r="U90" s="36">
        <v>0</v>
      </c>
      <c r="V90" s="36">
        <v>7553</v>
      </c>
      <c r="W90" s="43">
        <v>0</v>
      </c>
      <c r="X90" s="36">
        <v>0</v>
      </c>
      <c r="Y90" s="36">
        <v>7788</v>
      </c>
      <c r="Z90" s="43">
        <v>0</v>
      </c>
      <c r="AA90" s="36">
        <v>0</v>
      </c>
      <c r="AB90" s="36">
        <v>7312</v>
      </c>
      <c r="AC90" s="43">
        <v>0</v>
      </c>
      <c r="AD90" s="36">
        <v>126</v>
      </c>
      <c r="AE90" s="36">
        <v>6842</v>
      </c>
      <c r="AF90" s="44">
        <v>1.8415000000000001E-2</v>
      </c>
    </row>
    <row r="91" spans="2:32" x14ac:dyDescent="0.2">
      <c r="B91" s="42" t="s">
        <v>15</v>
      </c>
      <c r="C91" s="36">
        <v>0</v>
      </c>
      <c r="D91" s="36">
        <v>1586</v>
      </c>
      <c r="E91" s="43">
        <v>0</v>
      </c>
      <c r="F91" s="36">
        <v>0</v>
      </c>
      <c r="G91" s="36">
        <v>1200</v>
      </c>
      <c r="H91" s="43">
        <v>0</v>
      </c>
      <c r="I91" s="36">
        <v>0</v>
      </c>
      <c r="J91" s="36">
        <v>1284</v>
      </c>
      <c r="K91" s="43">
        <v>0</v>
      </c>
      <c r="L91" s="36">
        <v>0</v>
      </c>
      <c r="M91" s="36">
        <v>1212</v>
      </c>
      <c r="N91" s="43">
        <v>0</v>
      </c>
      <c r="O91" s="36">
        <v>0</v>
      </c>
      <c r="P91" s="36">
        <v>1022</v>
      </c>
      <c r="Q91" s="43">
        <v>0</v>
      </c>
      <c r="R91" s="36">
        <v>0</v>
      </c>
      <c r="S91" s="36">
        <v>711</v>
      </c>
      <c r="T91" s="43">
        <v>0</v>
      </c>
      <c r="U91" s="36">
        <v>0</v>
      </c>
      <c r="V91" s="36">
        <v>746</v>
      </c>
      <c r="W91" s="43">
        <v>0</v>
      </c>
      <c r="X91" s="36">
        <v>0</v>
      </c>
      <c r="Y91" s="36">
        <v>755</v>
      </c>
      <c r="Z91" s="43">
        <v>0</v>
      </c>
      <c r="AA91" s="36">
        <v>0</v>
      </c>
      <c r="AB91" s="36">
        <v>469</v>
      </c>
      <c r="AC91" s="43">
        <v>0</v>
      </c>
      <c r="AD91" s="36">
        <v>0</v>
      </c>
      <c r="AE91" s="36">
        <v>618</v>
      </c>
      <c r="AF91" s="44">
        <v>0</v>
      </c>
    </row>
    <row r="92" spans="2:32" x14ac:dyDescent="0.2">
      <c r="B92" s="42" t="s">
        <v>16</v>
      </c>
      <c r="C92" s="36">
        <v>0</v>
      </c>
      <c r="D92" s="36">
        <v>7315</v>
      </c>
      <c r="E92" s="43">
        <v>0</v>
      </c>
      <c r="F92" s="36">
        <v>0</v>
      </c>
      <c r="G92" s="36">
        <v>6991</v>
      </c>
      <c r="H92" s="43">
        <v>0</v>
      </c>
      <c r="I92" s="36">
        <v>0</v>
      </c>
      <c r="J92" s="36">
        <v>6520</v>
      </c>
      <c r="K92" s="43">
        <v>0</v>
      </c>
      <c r="L92" s="36">
        <v>0</v>
      </c>
      <c r="M92" s="36">
        <v>6080</v>
      </c>
      <c r="N92" s="43">
        <v>0</v>
      </c>
      <c r="O92" s="36">
        <v>0</v>
      </c>
      <c r="P92" s="36">
        <v>5712</v>
      </c>
      <c r="Q92" s="43">
        <v>0</v>
      </c>
      <c r="R92" s="36">
        <v>0</v>
      </c>
      <c r="S92" s="36">
        <v>5368</v>
      </c>
      <c r="T92" s="43">
        <v>0</v>
      </c>
      <c r="U92" s="36">
        <v>0</v>
      </c>
      <c r="V92" s="36">
        <v>5224</v>
      </c>
      <c r="W92" s="43">
        <v>0</v>
      </c>
      <c r="X92" s="36">
        <v>0</v>
      </c>
      <c r="Y92" s="36">
        <v>5225</v>
      </c>
      <c r="Z92" s="43">
        <v>0</v>
      </c>
      <c r="AA92" s="36">
        <v>0</v>
      </c>
      <c r="AB92" s="36">
        <v>4869</v>
      </c>
      <c r="AC92" s="43">
        <v>0</v>
      </c>
      <c r="AD92" s="36">
        <v>21</v>
      </c>
      <c r="AE92" s="36">
        <v>4703</v>
      </c>
      <c r="AF92" s="44">
        <v>4.4650000000000002E-3</v>
      </c>
    </row>
    <row r="93" spans="2:32" x14ac:dyDescent="0.2">
      <c r="B93" s="42" t="s">
        <v>17</v>
      </c>
      <c r="C93" s="36">
        <v>0</v>
      </c>
      <c r="D93" s="36">
        <v>7387</v>
      </c>
      <c r="E93" s="43">
        <v>0</v>
      </c>
      <c r="F93" s="36">
        <v>0</v>
      </c>
      <c r="G93" s="36">
        <v>7353</v>
      </c>
      <c r="H93" s="43">
        <v>0</v>
      </c>
      <c r="I93" s="36">
        <v>0</v>
      </c>
      <c r="J93" s="36">
        <v>6943</v>
      </c>
      <c r="K93" s="43">
        <v>0</v>
      </c>
      <c r="L93" s="36">
        <v>0</v>
      </c>
      <c r="M93" s="36">
        <v>6778</v>
      </c>
      <c r="N93" s="43">
        <v>0</v>
      </c>
      <c r="O93" s="36">
        <v>0</v>
      </c>
      <c r="P93" s="36">
        <v>6820</v>
      </c>
      <c r="Q93" s="43">
        <v>0</v>
      </c>
      <c r="R93" s="36">
        <v>0</v>
      </c>
      <c r="S93" s="36">
        <v>6828</v>
      </c>
      <c r="T93" s="43">
        <v>0</v>
      </c>
      <c r="U93" s="36">
        <v>0</v>
      </c>
      <c r="V93" s="36">
        <v>6830</v>
      </c>
      <c r="W93" s="43">
        <v>0</v>
      </c>
      <c r="X93" s="36">
        <v>0</v>
      </c>
      <c r="Y93" s="36">
        <v>6742</v>
      </c>
      <c r="Z93" s="43">
        <v>0</v>
      </c>
      <c r="AA93" s="36">
        <v>0</v>
      </c>
      <c r="AB93" s="36">
        <v>6425</v>
      </c>
      <c r="AC93" s="43">
        <v>0</v>
      </c>
      <c r="AD93" s="36">
        <v>96</v>
      </c>
      <c r="AE93" s="36">
        <v>6214</v>
      </c>
      <c r="AF93" s="44">
        <v>1.5448E-2</v>
      </c>
    </row>
    <row r="94" spans="2:32" x14ac:dyDescent="0.2">
      <c r="B94" s="42" t="s">
        <v>18</v>
      </c>
      <c r="C94" s="36">
        <v>0</v>
      </c>
      <c r="D94" s="36">
        <v>8642</v>
      </c>
      <c r="E94" s="43">
        <v>0</v>
      </c>
      <c r="F94" s="36">
        <v>0</v>
      </c>
      <c r="G94" s="36">
        <v>8262</v>
      </c>
      <c r="H94" s="43">
        <v>0</v>
      </c>
      <c r="I94" s="36">
        <v>0</v>
      </c>
      <c r="J94" s="36">
        <v>7462</v>
      </c>
      <c r="K94" s="43">
        <v>0</v>
      </c>
      <c r="L94" s="36">
        <v>0</v>
      </c>
      <c r="M94" s="36">
        <v>7098</v>
      </c>
      <c r="N94" s="43">
        <v>0</v>
      </c>
      <c r="O94" s="36">
        <v>0</v>
      </c>
      <c r="P94" s="36">
        <v>6837</v>
      </c>
      <c r="Q94" s="43">
        <v>0</v>
      </c>
      <c r="R94" s="36">
        <v>0</v>
      </c>
      <c r="S94" s="36">
        <v>6550</v>
      </c>
      <c r="T94" s="43">
        <v>0</v>
      </c>
      <c r="U94" s="36">
        <v>0</v>
      </c>
      <c r="V94" s="36">
        <v>6181</v>
      </c>
      <c r="W94" s="43">
        <v>0</v>
      </c>
      <c r="X94" s="36">
        <v>0</v>
      </c>
      <c r="Y94" s="36">
        <v>5575</v>
      </c>
      <c r="Z94" s="43">
        <v>0</v>
      </c>
      <c r="AA94" s="36">
        <v>0</v>
      </c>
      <c r="AB94" s="36">
        <v>4834</v>
      </c>
      <c r="AC94" s="43">
        <v>0</v>
      </c>
      <c r="AD94" s="36">
        <v>27</v>
      </c>
      <c r="AE94" s="36">
        <v>4646</v>
      </c>
      <c r="AF94" s="44">
        <v>5.8110000000000002E-3</v>
      </c>
    </row>
    <row r="95" spans="2:32" x14ac:dyDescent="0.2">
      <c r="B95" s="42" t="s">
        <v>19</v>
      </c>
      <c r="C95" s="36">
        <v>0</v>
      </c>
      <c r="D95" s="36">
        <v>15126</v>
      </c>
      <c r="E95" s="43">
        <v>0</v>
      </c>
      <c r="F95" s="36">
        <v>0</v>
      </c>
      <c r="G95" s="36">
        <v>15132</v>
      </c>
      <c r="H95" s="43">
        <v>0</v>
      </c>
      <c r="I95" s="36">
        <v>0</v>
      </c>
      <c r="J95" s="36">
        <v>15596</v>
      </c>
      <c r="K95" s="43">
        <v>0</v>
      </c>
      <c r="L95" s="36">
        <v>0</v>
      </c>
      <c r="M95" s="36">
        <v>14925</v>
      </c>
      <c r="N95" s="43">
        <v>0</v>
      </c>
      <c r="O95" s="36">
        <v>0</v>
      </c>
      <c r="P95" s="36">
        <v>14571</v>
      </c>
      <c r="Q95" s="43">
        <v>0</v>
      </c>
      <c r="R95" s="36">
        <v>65</v>
      </c>
      <c r="S95" s="36">
        <v>14035</v>
      </c>
      <c r="T95" s="43">
        <v>4.6309999999999997E-3</v>
      </c>
      <c r="U95" s="36">
        <v>64</v>
      </c>
      <c r="V95" s="36">
        <v>13114</v>
      </c>
      <c r="W95" s="43">
        <v>4.8799999999999998E-3</v>
      </c>
      <c r="X95" s="36">
        <v>68</v>
      </c>
      <c r="Y95" s="36">
        <v>12562</v>
      </c>
      <c r="Z95" s="43">
        <v>5.4130000000000003E-3</v>
      </c>
      <c r="AA95" s="36">
        <v>62</v>
      </c>
      <c r="AB95" s="36">
        <v>11581</v>
      </c>
      <c r="AC95" s="43">
        <v>5.3530000000000001E-3</v>
      </c>
      <c r="AD95" s="36">
        <v>63</v>
      </c>
      <c r="AE95" s="36">
        <v>10636</v>
      </c>
      <c r="AF95" s="44">
        <v>5.9230000000000003E-3</v>
      </c>
    </row>
    <row r="96" spans="2:32" x14ac:dyDescent="0.2">
      <c r="B96" s="42" t="s">
        <v>20</v>
      </c>
      <c r="C96" s="36">
        <v>0</v>
      </c>
      <c r="D96" s="36">
        <v>10707</v>
      </c>
      <c r="E96" s="43">
        <v>0</v>
      </c>
      <c r="F96" s="36">
        <v>0</v>
      </c>
      <c r="G96" s="36">
        <v>10283</v>
      </c>
      <c r="H96" s="43">
        <v>0</v>
      </c>
      <c r="I96" s="36">
        <v>0</v>
      </c>
      <c r="J96" s="36">
        <v>9804</v>
      </c>
      <c r="K96" s="43">
        <v>0</v>
      </c>
      <c r="L96" s="36">
        <v>0</v>
      </c>
      <c r="M96" s="36">
        <v>9513</v>
      </c>
      <c r="N96" s="43">
        <v>0</v>
      </c>
      <c r="O96" s="36">
        <v>0</v>
      </c>
      <c r="P96" s="36">
        <v>9218</v>
      </c>
      <c r="Q96" s="43">
        <v>0</v>
      </c>
      <c r="R96" s="36">
        <v>0</v>
      </c>
      <c r="S96" s="36">
        <v>9000</v>
      </c>
      <c r="T96" s="43">
        <v>0</v>
      </c>
      <c r="U96" s="36">
        <v>0</v>
      </c>
      <c r="V96" s="36">
        <v>8513</v>
      </c>
      <c r="W96" s="43">
        <v>0</v>
      </c>
      <c r="X96" s="36">
        <v>0</v>
      </c>
      <c r="Y96" s="36">
        <v>8329</v>
      </c>
      <c r="Z96" s="43">
        <v>0</v>
      </c>
      <c r="AA96" s="36">
        <v>0</v>
      </c>
      <c r="AB96" s="36">
        <v>8309</v>
      </c>
      <c r="AC96" s="43">
        <v>0</v>
      </c>
      <c r="AD96" s="36">
        <v>55</v>
      </c>
      <c r="AE96" s="36">
        <v>8199</v>
      </c>
      <c r="AF96" s="44">
        <v>6.7080000000000004E-3</v>
      </c>
    </row>
    <row r="97" spans="2:32" x14ac:dyDescent="0.2">
      <c r="B97" s="42" t="s">
        <v>21</v>
      </c>
      <c r="C97" s="36">
        <v>0</v>
      </c>
      <c r="D97" s="36">
        <v>5451</v>
      </c>
      <c r="E97" s="43">
        <v>0</v>
      </c>
      <c r="F97" s="36">
        <v>0</v>
      </c>
      <c r="G97" s="36">
        <v>5366</v>
      </c>
      <c r="H97" s="43">
        <v>0</v>
      </c>
      <c r="I97" s="36">
        <v>0</v>
      </c>
      <c r="J97" s="36">
        <v>5328</v>
      </c>
      <c r="K97" s="43">
        <v>0</v>
      </c>
      <c r="L97" s="36">
        <v>0</v>
      </c>
      <c r="M97" s="36">
        <v>5260</v>
      </c>
      <c r="N97" s="43">
        <v>0</v>
      </c>
      <c r="O97" s="36">
        <v>0</v>
      </c>
      <c r="P97" s="36">
        <v>4917</v>
      </c>
      <c r="Q97" s="43">
        <v>0</v>
      </c>
      <c r="R97" s="36">
        <v>0</v>
      </c>
      <c r="S97" s="36">
        <v>4607</v>
      </c>
      <c r="T97" s="43">
        <v>0</v>
      </c>
      <c r="U97" s="36">
        <v>0</v>
      </c>
      <c r="V97" s="36">
        <v>4220</v>
      </c>
      <c r="W97" s="43">
        <v>0</v>
      </c>
      <c r="X97" s="36">
        <v>0</v>
      </c>
      <c r="Y97" s="36">
        <v>3827</v>
      </c>
      <c r="Z97" s="43">
        <v>0</v>
      </c>
      <c r="AA97" s="36">
        <v>0</v>
      </c>
      <c r="AB97" s="36">
        <v>3425</v>
      </c>
      <c r="AC97" s="43">
        <v>0</v>
      </c>
      <c r="AD97" s="36">
        <v>0</v>
      </c>
      <c r="AE97" s="36">
        <v>3162</v>
      </c>
      <c r="AF97" s="44">
        <v>0</v>
      </c>
    </row>
    <row r="98" spans="2:32" x14ac:dyDescent="0.2">
      <c r="B98" s="42" t="s">
        <v>22</v>
      </c>
      <c r="C98" s="36">
        <v>0</v>
      </c>
      <c r="D98" s="36">
        <v>3411</v>
      </c>
      <c r="E98" s="43">
        <v>0</v>
      </c>
      <c r="F98" s="36">
        <v>0</v>
      </c>
      <c r="G98" s="36">
        <v>3275</v>
      </c>
      <c r="H98" s="43">
        <v>0</v>
      </c>
      <c r="I98" s="36">
        <v>0</v>
      </c>
      <c r="J98" s="36">
        <v>3131</v>
      </c>
      <c r="K98" s="43">
        <v>0</v>
      </c>
      <c r="L98" s="36">
        <v>0</v>
      </c>
      <c r="M98" s="36">
        <v>2970</v>
      </c>
      <c r="N98" s="43">
        <v>0</v>
      </c>
      <c r="O98" s="36">
        <v>0</v>
      </c>
      <c r="P98" s="36">
        <v>2752</v>
      </c>
      <c r="Q98" s="43">
        <v>0</v>
      </c>
      <c r="R98" s="36">
        <v>0</v>
      </c>
      <c r="S98" s="36">
        <v>2389</v>
      </c>
      <c r="T98" s="43">
        <v>0</v>
      </c>
      <c r="U98" s="36">
        <v>0</v>
      </c>
      <c r="V98" s="36">
        <v>2207</v>
      </c>
      <c r="W98" s="43">
        <v>0</v>
      </c>
      <c r="X98" s="36">
        <v>0</v>
      </c>
      <c r="Y98" s="36">
        <v>1922</v>
      </c>
      <c r="Z98" s="43">
        <v>0</v>
      </c>
      <c r="AA98" s="36">
        <v>0</v>
      </c>
      <c r="AB98" s="36">
        <v>1650</v>
      </c>
      <c r="AC98" s="43">
        <v>0</v>
      </c>
      <c r="AD98" s="36">
        <v>0</v>
      </c>
      <c r="AE98" s="36">
        <v>1663</v>
      </c>
      <c r="AF98" s="44">
        <v>0</v>
      </c>
    </row>
    <row r="99" spans="2:32" x14ac:dyDescent="0.2">
      <c r="B99" s="42" t="s">
        <v>23</v>
      </c>
      <c r="C99" s="36">
        <v>0</v>
      </c>
      <c r="D99" s="36">
        <v>8729</v>
      </c>
      <c r="E99" s="43">
        <v>0</v>
      </c>
      <c r="F99" s="36">
        <v>0</v>
      </c>
      <c r="G99" s="36">
        <v>8725</v>
      </c>
      <c r="H99" s="43">
        <v>0</v>
      </c>
      <c r="I99" s="36">
        <v>0</v>
      </c>
      <c r="J99" s="36">
        <v>8368</v>
      </c>
      <c r="K99" s="43">
        <v>0</v>
      </c>
      <c r="L99" s="36">
        <v>0</v>
      </c>
      <c r="M99" s="36">
        <v>8279</v>
      </c>
      <c r="N99" s="43">
        <v>0</v>
      </c>
      <c r="O99" s="36">
        <v>0</v>
      </c>
      <c r="P99" s="36">
        <v>8047</v>
      </c>
      <c r="Q99" s="43">
        <v>0</v>
      </c>
      <c r="R99" s="36">
        <v>0</v>
      </c>
      <c r="S99" s="36">
        <v>7988</v>
      </c>
      <c r="T99" s="43">
        <v>0</v>
      </c>
      <c r="U99" s="36">
        <v>0</v>
      </c>
      <c r="V99" s="36">
        <v>7927</v>
      </c>
      <c r="W99" s="43">
        <v>0</v>
      </c>
      <c r="X99" s="36">
        <v>0</v>
      </c>
      <c r="Y99" s="36">
        <v>7748</v>
      </c>
      <c r="Z99" s="43">
        <v>0</v>
      </c>
      <c r="AA99" s="36">
        <v>0</v>
      </c>
      <c r="AB99" s="36">
        <v>7781</v>
      </c>
      <c r="AC99" s="43">
        <v>0</v>
      </c>
      <c r="AD99" s="36">
        <v>54</v>
      </c>
      <c r="AE99" s="36">
        <v>7817</v>
      </c>
      <c r="AF99" s="44">
        <v>6.9080000000000001E-3</v>
      </c>
    </row>
    <row r="100" spans="2:32" x14ac:dyDescent="0.2">
      <c r="B100" s="42" t="s">
        <v>24</v>
      </c>
      <c r="C100" s="36">
        <v>0</v>
      </c>
      <c r="D100" s="36">
        <v>8326</v>
      </c>
      <c r="E100" s="43">
        <v>0</v>
      </c>
      <c r="F100" s="36">
        <v>0</v>
      </c>
      <c r="G100" s="36">
        <v>8183</v>
      </c>
      <c r="H100" s="43">
        <v>0</v>
      </c>
      <c r="I100" s="36">
        <v>0</v>
      </c>
      <c r="J100" s="36">
        <v>7724</v>
      </c>
      <c r="K100" s="43">
        <v>0</v>
      </c>
      <c r="L100" s="36">
        <v>0</v>
      </c>
      <c r="M100" s="36">
        <v>7548</v>
      </c>
      <c r="N100" s="43">
        <v>0</v>
      </c>
      <c r="O100" s="36">
        <v>0</v>
      </c>
      <c r="P100" s="36">
        <v>7355</v>
      </c>
      <c r="Q100" s="43">
        <v>0</v>
      </c>
      <c r="R100" s="36">
        <v>0</v>
      </c>
      <c r="S100" s="36">
        <v>7058</v>
      </c>
      <c r="T100" s="43">
        <v>0</v>
      </c>
      <c r="U100" s="36">
        <v>0</v>
      </c>
      <c r="V100" s="36">
        <v>6989</v>
      </c>
      <c r="W100" s="43">
        <v>0</v>
      </c>
      <c r="X100" s="36">
        <v>0</v>
      </c>
      <c r="Y100" s="36">
        <v>6581</v>
      </c>
      <c r="Z100" s="43">
        <v>0</v>
      </c>
      <c r="AA100" s="36">
        <v>0</v>
      </c>
      <c r="AB100" s="36">
        <v>6408</v>
      </c>
      <c r="AC100" s="43">
        <v>0</v>
      </c>
      <c r="AD100" s="36">
        <v>43</v>
      </c>
      <c r="AE100" s="36">
        <v>6096</v>
      </c>
      <c r="AF100" s="44">
        <v>7.0530000000000002E-3</v>
      </c>
    </row>
    <row r="101" spans="2:32" x14ac:dyDescent="0.2">
      <c r="B101" s="42" t="s">
        <v>25</v>
      </c>
      <c r="C101" s="36">
        <v>0</v>
      </c>
      <c r="D101" s="36">
        <v>8852</v>
      </c>
      <c r="E101" s="43">
        <v>0</v>
      </c>
      <c r="F101" s="36">
        <v>0</v>
      </c>
      <c r="G101" s="36">
        <v>8712</v>
      </c>
      <c r="H101" s="43">
        <v>0</v>
      </c>
      <c r="I101" s="36">
        <v>130</v>
      </c>
      <c r="J101" s="36">
        <v>8559</v>
      </c>
      <c r="K101" s="43">
        <v>1.5188E-2</v>
      </c>
      <c r="L101" s="36">
        <v>135</v>
      </c>
      <c r="M101" s="36">
        <v>8347</v>
      </c>
      <c r="N101" s="43">
        <v>1.6173E-2</v>
      </c>
      <c r="O101" s="36">
        <v>134</v>
      </c>
      <c r="P101" s="36">
        <v>8495</v>
      </c>
      <c r="Q101" s="43">
        <v>1.5772999999999999E-2</v>
      </c>
      <c r="R101" s="36">
        <v>143</v>
      </c>
      <c r="S101" s="36">
        <v>8628</v>
      </c>
      <c r="T101" s="43">
        <v>1.6573000000000001E-2</v>
      </c>
      <c r="U101" s="36">
        <v>141</v>
      </c>
      <c r="V101" s="36">
        <v>8881</v>
      </c>
      <c r="W101" s="43">
        <v>1.5876000000000001E-2</v>
      </c>
      <c r="X101" s="36">
        <v>143</v>
      </c>
      <c r="Y101" s="36">
        <v>8895</v>
      </c>
      <c r="Z101" s="43">
        <v>1.6076E-2</v>
      </c>
      <c r="AA101" s="36">
        <v>172</v>
      </c>
      <c r="AB101" s="36">
        <v>8824</v>
      </c>
      <c r="AC101" s="43">
        <v>1.9491999999999999E-2</v>
      </c>
      <c r="AD101" s="36">
        <v>197</v>
      </c>
      <c r="AE101" s="36">
        <v>8806</v>
      </c>
      <c r="AF101" s="44">
        <v>2.2370999999999999E-2</v>
      </c>
    </row>
    <row r="102" spans="2:32" x14ac:dyDescent="0.2">
      <c r="B102" s="42" t="s">
        <v>26</v>
      </c>
      <c r="C102" s="36">
        <v>0</v>
      </c>
      <c r="D102" s="36">
        <v>14490</v>
      </c>
      <c r="E102" s="43">
        <v>0</v>
      </c>
      <c r="F102" s="36">
        <v>0</v>
      </c>
      <c r="G102" s="36">
        <v>15100</v>
      </c>
      <c r="H102" s="43">
        <v>0</v>
      </c>
      <c r="I102" s="36">
        <v>0</v>
      </c>
      <c r="J102" s="36">
        <v>15411</v>
      </c>
      <c r="K102" s="43">
        <v>0</v>
      </c>
      <c r="L102" s="36">
        <v>0</v>
      </c>
      <c r="M102" s="36">
        <v>15845</v>
      </c>
      <c r="N102" s="43">
        <v>0</v>
      </c>
      <c r="O102" s="36">
        <v>0</v>
      </c>
      <c r="P102" s="36">
        <v>16086</v>
      </c>
      <c r="Q102" s="43">
        <v>0</v>
      </c>
      <c r="R102" s="36">
        <v>0</v>
      </c>
      <c r="S102" s="36">
        <v>16606</v>
      </c>
      <c r="T102" s="43">
        <v>0</v>
      </c>
      <c r="U102" s="36">
        <v>4</v>
      </c>
      <c r="V102" s="36">
        <v>17006</v>
      </c>
      <c r="W102" s="43">
        <v>2.3499999999999999E-4</v>
      </c>
      <c r="X102" s="36">
        <v>12</v>
      </c>
      <c r="Y102" s="36">
        <v>17336</v>
      </c>
      <c r="Z102" s="43">
        <v>6.9200000000000002E-4</v>
      </c>
      <c r="AA102" s="36">
        <v>23</v>
      </c>
      <c r="AB102" s="36">
        <v>17552</v>
      </c>
      <c r="AC102" s="43">
        <v>1.31E-3</v>
      </c>
      <c r="AD102" s="36">
        <v>57</v>
      </c>
      <c r="AE102" s="36">
        <v>17691</v>
      </c>
      <c r="AF102" s="44">
        <v>3.2209999999999999E-3</v>
      </c>
    </row>
    <row r="103" spans="2:32" ht="15" x14ac:dyDescent="0.25">
      <c r="B103" s="37" t="s">
        <v>27</v>
      </c>
      <c r="C103" s="38">
        <f>SUBTOTAL(109,'Enrollment by Program Level'!$C$89:$C$102)</f>
        <v>0</v>
      </c>
      <c r="D103" s="38">
        <f>SUBTOTAL(109,'Enrollment by Program Level'!$D$89:$D$102)</f>
        <v>119513</v>
      </c>
      <c r="E103" s="45">
        <f>'Enrollment by Program Level'!$C$103 / 'Enrollment by Program Level'!$D$103</f>
        <v>0</v>
      </c>
      <c r="F103" s="38">
        <f>SUBTOTAL(109,'Enrollment by Program Level'!$F$89:$F$102)</f>
        <v>0</v>
      </c>
      <c r="G103" s="38">
        <f>SUBTOTAL(109,'Enrollment by Program Level'!$G$89:$G$102)</f>
        <v>118224</v>
      </c>
      <c r="H103" s="45">
        <f>'Enrollment by Program Level'!$F$103 /'Enrollment by Program Level'!$G$103</f>
        <v>0</v>
      </c>
      <c r="I103" s="38">
        <f>SUBTOTAL(109,'Enrollment by Program Level'!$I$89:$I$102)</f>
        <v>189</v>
      </c>
      <c r="J103" s="38">
        <f>SUBTOTAL(109,'Enrollment by Program Level'!$J$89:$J$102)</f>
        <v>114688</v>
      </c>
      <c r="K103" s="45">
        <f>'Enrollment by Program Level'!$I$103 / 'Enrollment by Program Level'!$J$103</f>
        <v>1.64794921875E-3</v>
      </c>
      <c r="L103" s="38">
        <f>SUBTOTAL(109,'Enrollment by Program Level'!$L$89:$L$102)</f>
        <v>196</v>
      </c>
      <c r="M103" s="38">
        <f>SUBTOTAL(109,'Enrollment by Program Level'!$M$89:$M$102)</f>
        <v>112225</v>
      </c>
      <c r="N103" s="45">
        <f>'Enrollment by Program Level'!$L$103 / 'Enrollment by Program Level'!$M$103</f>
        <v>1.7464914234796168E-3</v>
      </c>
      <c r="O103" s="38">
        <f>SUBTOTAL(109,'Enrollment by Program Level'!$O$89:$O$102)</f>
        <v>195</v>
      </c>
      <c r="P103" s="38">
        <f>SUBTOTAL(109,'Enrollment by Program Level'!$P$89:$P$102)</f>
        <v>109808</v>
      </c>
      <c r="Q103" s="45">
        <f>'Enrollment by Program Level'!$O$103 / 'Enrollment by Program Level'!$P$103</f>
        <v>1.7758268978580796E-3</v>
      </c>
      <c r="R103" s="38">
        <f>SUBTOTAL(109,'Enrollment by Program Level'!$R$89:$R$102)</f>
        <v>255</v>
      </c>
      <c r="S103" s="38">
        <f>SUBTOTAL(109,'Enrollment by Program Level'!$S$89:$S$102)</f>
        <v>107399</v>
      </c>
      <c r="T103" s="45">
        <f>'Enrollment by Program Level'!$R$103 / 'Enrollment by Program Level'!$S$103</f>
        <v>2.3743237832754495E-3</v>
      </c>
      <c r="U103" s="38">
        <f>SUBTOTAL(109,'Enrollment by Program Level'!$U$89:$U$102)</f>
        <v>257</v>
      </c>
      <c r="V103" s="38">
        <f>SUBTOTAL(109,'Enrollment by Program Level'!$V$89:$V$102)</f>
        <v>105049</v>
      </c>
      <c r="W103" s="45">
        <f>'Enrollment by Program Level'!$U$103 / 'Enrollment by Program Level'!$V$103</f>
        <v>2.4464773581852279E-3</v>
      </c>
      <c r="X103" s="38">
        <f>SUBTOTAL(109,'Enrollment by Program Level'!$X$89:$X$102)</f>
        <v>277</v>
      </c>
      <c r="Y103" s="38">
        <f>SUBTOTAL(109,'Enrollment by Program Level'!$Y$89:$Y$102)</f>
        <v>102572</v>
      </c>
      <c r="Z103" s="45">
        <f>'Enrollment by Program Level'!$X$103 / 'Enrollment by Program Level'!$Y$103</f>
        <v>2.7005420582615139E-3</v>
      </c>
      <c r="AA103" s="38">
        <f>SUBTOTAL(109,'Enrollment by Program Level'!$AA$89:$AA$102)</f>
        <v>303</v>
      </c>
      <c r="AB103" s="38">
        <f>SUBTOTAL(109,'Enrollment by Program Level'!$AB$89:$AB$102)</f>
        <v>98363</v>
      </c>
      <c r="AC103" s="45">
        <f>'Enrollment by Program Level'!$AA$103 / 'Enrollment by Program Level'!$AB$103</f>
        <v>3.0804265831664347E-3</v>
      </c>
      <c r="AD103" s="38">
        <f>SUBTOTAL(109,'Enrollment by Program Level'!$AD$89:$AD$102)</f>
        <v>797</v>
      </c>
      <c r="AE103" s="38">
        <f>SUBTOTAL(109,'Enrollment by Program Level'!$AE$89:$AE$102)</f>
        <v>95782</v>
      </c>
      <c r="AF103" s="46">
        <f>'Enrollment by Program Level'!$AD$103 / 'Enrollment by Program Level'!$AE$103</f>
        <v>8.3209788895617122E-3</v>
      </c>
    </row>
    <row r="108" spans="2:32" ht="16.5" customHeight="1" x14ac:dyDescent="0.2"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</row>
    <row r="109" spans="2:32" ht="15" x14ac:dyDescent="0.2">
      <c r="B109" s="127" t="s">
        <v>266</v>
      </c>
      <c r="C109" s="127"/>
      <c r="D109" s="127"/>
      <c r="E109" s="127"/>
      <c r="F109" s="127"/>
      <c r="G109" s="127"/>
      <c r="H109" s="127"/>
      <c r="I109" s="127"/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  <c r="T109" s="127"/>
      <c r="U109" s="127"/>
      <c r="V109" s="127"/>
      <c r="W109" s="127"/>
      <c r="X109" s="127"/>
      <c r="Y109" s="127"/>
      <c r="Z109" s="127"/>
      <c r="AA109" s="127"/>
      <c r="AB109" s="127"/>
      <c r="AC109" s="127"/>
      <c r="AD109" s="127"/>
      <c r="AE109" s="127"/>
      <c r="AF109" s="127"/>
    </row>
    <row r="110" spans="2:32" x14ac:dyDescent="0.2">
      <c r="B110" s="134" t="s">
        <v>1</v>
      </c>
      <c r="C110" s="133" t="str">
        <f>CONCATENATE(IF(RIGHT(Parameters!B1,1) = "1","Fall ", "Spring "),IF(RIGHT(Parameters!B1,1) = "1",LEFT(Parameters!B1,4) -9, LEFT(Parameters!B1,4) - 8))</f>
        <v>Fall 2010</v>
      </c>
      <c r="D110" s="133"/>
      <c r="E110" s="133"/>
      <c r="F110" s="133" t="str">
        <f>CONCATENATE(IF(RIGHT(Parameters!B1,1) = "1","Fall ", "Spring "),IF(RIGHT(Parameters!B1,1) = "1",LEFT(Parameters!B1,4) -8, LEFT(Parameters!B1,4) - 7))</f>
        <v>Fall 2011</v>
      </c>
      <c r="G110" s="133"/>
      <c r="H110" s="133"/>
      <c r="I110" s="133" t="str">
        <f>CONCATENATE(IF(RIGHT(Parameters!B1,1) = "1","Fall ", "Spring "),IF(RIGHT(Parameters!B1,1) = "1",LEFT(Parameters!B1,4) -7, LEFT(Parameters!B1,4) - 6))</f>
        <v>Fall 2012</v>
      </c>
      <c r="J110" s="133"/>
      <c r="K110" s="133"/>
      <c r="L110" s="133" t="str">
        <f>CONCATENATE(IF(RIGHT(Parameters!B1,1) = "1","Fall ", "Spring "),IF(RIGHT(Parameters!B1,1) = "1",LEFT(Parameters!B1,4) -6, LEFT(Parameters!B1,4) - 5))</f>
        <v>Fall 2013</v>
      </c>
      <c r="M110" s="133"/>
      <c r="N110" s="133"/>
      <c r="O110" s="133" t="str">
        <f>CONCATENATE(IF(RIGHT(Parameters!B1,1) = "1","Fall ", "Spring "),IF(RIGHT(Parameters!B1,1) = "1",LEFT(Parameters!B1,4) -5, LEFT(Parameters!B1,4) - 4))</f>
        <v>Fall 2014</v>
      </c>
      <c r="P110" s="133"/>
      <c r="Q110" s="133"/>
      <c r="R110" s="133" t="str">
        <f>CONCATENATE(IF(RIGHT(Parameters!B1,1) = "1","Fall ", "Spring "),IF(RIGHT(Parameters!B1,1) = "1",LEFT(Parameters!B1,4) -4, LEFT(Parameters!B1,4) - 3))</f>
        <v>Fall 2015</v>
      </c>
      <c r="S110" s="133"/>
      <c r="T110" s="133"/>
      <c r="U110" s="133" t="str">
        <f>CONCATENATE(IF(RIGHT(Parameters!B1,1) = "1","Fall ", "Spring "),IF(RIGHT(Parameters!B1,1) = "1",LEFT(Parameters!B1,4) -3, LEFT(Parameters!B1,4) -2 ))</f>
        <v>Fall 2016</v>
      </c>
      <c r="V110" s="133"/>
      <c r="W110" s="133"/>
      <c r="X110" s="133" t="str">
        <f>CONCATENATE(IF(RIGHT(Parameters!B1,1) = "1","Fall ", "Spring "),IF(RIGHT(Parameters!B1,1) = "1",LEFT(Parameters!B1,4) -2, LEFT(Parameters!B1,4) -1 ))</f>
        <v>Fall 2017</v>
      </c>
      <c r="Y110" s="133"/>
      <c r="Z110" s="133"/>
      <c r="AA110" s="133" t="str">
        <f>CONCATENATE(IF(RIGHT(Parameters!B1,1) = "1","Fall ", "Spring "),IF(RIGHT(Parameters!B1,1) = "1",LEFT(Parameters!B1,4) -1, LEFT(Parameters!B1,4)  ))</f>
        <v>Fall 2018</v>
      </c>
      <c r="AB110" s="133"/>
      <c r="AC110" s="133"/>
      <c r="AD110" s="133" t="str">
        <f>CONCATENATE(IF(RIGHT(Parameters!B1,1) = "1","Fall ", "Spring "),IF(RIGHT(Parameters!B1,1) = "1",LEFT(Parameters!B1,4), LEFT(Parameters!B1,4) + 1))</f>
        <v>Fall 2019</v>
      </c>
      <c r="AE110" s="133"/>
      <c r="AF110" s="133"/>
    </row>
    <row r="111" spans="2:32" ht="42.75" x14ac:dyDescent="0.2">
      <c r="B111" s="136"/>
      <c r="C111" s="19" t="s">
        <v>267</v>
      </c>
      <c r="D111" s="19" t="s">
        <v>82</v>
      </c>
      <c r="E111" s="19" t="s">
        <v>268</v>
      </c>
      <c r="F111" s="19" t="s">
        <v>267</v>
      </c>
      <c r="G111" s="19" t="s">
        <v>82</v>
      </c>
      <c r="H111" s="19" t="s">
        <v>268</v>
      </c>
      <c r="I111" s="19" t="s">
        <v>267</v>
      </c>
      <c r="J111" s="19" t="s">
        <v>82</v>
      </c>
      <c r="K111" s="19" t="s">
        <v>268</v>
      </c>
      <c r="L111" s="19" t="s">
        <v>267</v>
      </c>
      <c r="M111" s="19" t="s">
        <v>82</v>
      </c>
      <c r="N111" s="19" t="s">
        <v>268</v>
      </c>
      <c r="O111" s="19" t="s">
        <v>267</v>
      </c>
      <c r="P111" s="19" t="s">
        <v>82</v>
      </c>
      <c r="Q111" s="19" t="s">
        <v>268</v>
      </c>
      <c r="R111" s="19" t="s">
        <v>267</v>
      </c>
      <c r="S111" s="19" t="s">
        <v>82</v>
      </c>
      <c r="T111" s="19" t="s">
        <v>268</v>
      </c>
      <c r="U111" s="19" t="s">
        <v>267</v>
      </c>
      <c r="V111" s="19" t="s">
        <v>82</v>
      </c>
      <c r="W111" s="19" t="s">
        <v>268</v>
      </c>
      <c r="X111" s="19" t="s">
        <v>267</v>
      </c>
      <c r="Y111" s="19" t="s">
        <v>82</v>
      </c>
      <c r="Z111" s="19" t="s">
        <v>268</v>
      </c>
      <c r="AA111" s="19" t="s">
        <v>267</v>
      </c>
      <c r="AB111" s="19" t="s">
        <v>82</v>
      </c>
      <c r="AC111" s="19" t="s">
        <v>268</v>
      </c>
      <c r="AD111" s="19" t="s">
        <v>267</v>
      </c>
      <c r="AE111" s="19" t="s">
        <v>82</v>
      </c>
      <c r="AF111" s="19" t="s">
        <v>268</v>
      </c>
    </row>
    <row r="112" spans="2:32" ht="15" hidden="1" x14ac:dyDescent="0.25">
      <c r="B112" s="31" t="s">
        <v>2</v>
      </c>
      <c r="C112" s="31" t="s">
        <v>84</v>
      </c>
      <c r="D112" s="31" t="s">
        <v>85</v>
      </c>
      <c r="E112" s="31" t="s">
        <v>86</v>
      </c>
      <c r="F112" s="31" t="s">
        <v>87</v>
      </c>
      <c r="G112" s="31" t="s">
        <v>88</v>
      </c>
      <c r="H112" s="31" t="s">
        <v>89</v>
      </c>
      <c r="I112" s="31" t="s">
        <v>90</v>
      </c>
      <c r="J112" s="31" t="s">
        <v>91</v>
      </c>
      <c r="K112" s="31" t="s">
        <v>92</v>
      </c>
      <c r="L112" s="31" t="s">
        <v>93</v>
      </c>
      <c r="M112" s="31" t="s">
        <v>94</v>
      </c>
      <c r="N112" s="31" t="s">
        <v>95</v>
      </c>
      <c r="O112" s="31" t="s">
        <v>96</v>
      </c>
      <c r="P112" s="31" t="s">
        <v>97</v>
      </c>
      <c r="Q112" s="31" t="s">
        <v>98</v>
      </c>
      <c r="R112" s="31" t="s">
        <v>99</v>
      </c>
      <c r="S112" s="31" t="s">
        <v>100</v>
      </c>
      <c r="T112" s="31" t="s">
        <v>101</v>
      </c>
      <c r="U112" s="31" t="s">
        <v>102</v>
      </c>
      <c r="V112" s="31" t="s">
        <v>103</v>
      </c>
      <c r="W112" s="31" t="s">
        <v>104</v>
      </c>
      <c r="X112" s="31" t="s">
        <v>105</v>
      </c>
      <c r="Y112" s="31" t="s">
        <v>106</v>
      </c>
      <c r="Z112" s="31" t="s">
        <v>147</v>
      </c>
      <c r="AA112" s="31" t="s">
        <v>108</v>
      </c>
      <c r="AB112" s="31" t="s">
        <v>109</v>
      </c>
      <c r="AC112" s="31" t="s">
        <v>110</v>
      </c>
      <c r="AD112" s="31" t="s">
        <v>111</v>
      </c>
      <c r="AE112" s="31" t="s">
        <v>112</v>
      </c>
      <c r="AF112" s="31" t="s">
        <v>113</v>
      </c>
    </row>
    <row r="113" spans="2:32" x14ac:dyDescent="0.2">
      <c r="B113" s="39" t="s">
        <v>13</v>
      </c>
      <c r="C113" s="33">
        <v>0</v>
      </c>
      <c r="D113" s="33">
        <v>10091</v>
      </c>
      <c r="E113" s="40">
        <v>0</v>
      </c>
      <c r="F113" s="33">
        <v>0</v>
      </c>
      <c r="G113" s="33">
        <v>10159</v>
      </c>
      <c r="H113" s="40">
        <v>0</v>
      </c>
      <c r="I113" s="33">
        <v>0</v>
      </c>
      <c r="J113" s="33">
        <v>9950</v>
      </c>
      <c r="K113" s="40">
        <v>0</v>
      </c>
      <c r="L113" s="33">
        <v>0</v>
      </c>
      <c r="M113" s="33">
        <v>10127</v>
      </c>
      <c r="N113" s="40">
        <v>0</v>
      </c>
      <c r="O113" s="33">
        <v>0</v>
      </c>
      <c r="P113" s="33">
        <v>9998</v>
      </c>
      <c r="Q113" s="40">
        <v>0</v>
      </c>
      <c r="R113" s="33">
        <v>0</v>
      </c>
      <c r="S113" s="33">
        <v>9777</v>
      </c>
      <c r="T113" s="40">
        <v>0</v>
      </c>
      <c r="U113" s="33">
        <v>0</v>
      </c>
      <c r="V113" s="33">
        <v>9658</v>
      </c>
      <c r="W113" s="40">
        <v>0</v>
      </c>
      <c r="X113" s="33">
        <v>23</v>
      </c>
      <c r="Y113" s="33">
        <v>9287</v>
      </c>
      <c r="Z113" s="40">
        <v>2.4759999999999999E-3</v>
      </c>
      <c r="AA113" s="33">
        <v>12</v>
      </c>
      <c r="AB113" s="33">
        <v>8924</v>
      </c>
      <c r="AC113" s="40">
        <v>1.3439999999999999E-3</v>
      </c>
      <c r="AD113" s="33">
        <v>21</v>
      </c>
      <c r="AE113" s="33">
        <v>8689</v>
      </c>
      <c r="AF113" s="41">
        <v>2.4160000000000002E-3</v>
      </c>
    </row>
    <row r="114" spans="2:32" x14ac:dyDescent="0.2">
      <c r="B114" s="42" t="s">
        <v>14</v>
      </c>
      <c r="C114" s="36">
        <v>33</v>
      </c>
      <c r="D114" s="36">
        <v>9400</v>
      </c>
      <c r="E114" s="43">
        <v>3.5100000000000001E-3</v>
      </c>
      <c r="F114" s="36">
        <v>29</v>
      </c>
      <c r="G114" s="36">
        <v>9483</v>
      </c>
      <c r="H114" s="43">
        <v>3.058E-3</v>
      </c>
      <c r="I114" s="36">
        <v>13</v>
      </c>
      <c r="J114" s="36">
        <v>8608</v>
      </c>
      <c r="K114" s="43">
        <v>1.5100000000000001E-3</v>
      </c>
      <c r="L114" s="36">
        <v>10</v>
      </c>
      <c r="M114" s="36">
        <v>8243</v>
      </c>
      <c r="N114" s="43">
        <v>1.2130000000000001E-3</v>
      </c>
      <c r="O114" s="36">
        <v>5</v>
      </c>
      <c r="P114" s="36">
        <v>7978</v>
      </c>
      <c r="Q114" s="43">
        <v>6.2600000000000004E-4</v>
      </c>
      <c r="R114" s="36">
        <v>11</v>
      </c>
      <c r="S114" s="36">
        <v>7854</v>
      </c>
      <c r="T114" s="43">
        <v>1.4E-3</v>
      </c>
      <c r="U114" s="36">
        <v>16</v>
      </c>
      <c r="V114" s="36">
        <v>7553</v>
      </c>
      <c r="W114" s="43">
        <v>2.1180000000000001E-3</v>
      </c>
      <c r="X114" s="36">
        <v>21</v>
      </c>
      <c r="Y114" s="36">
        <v>7788</v>
      </c>
      <c r="Z114" s="43">
        <v>2.696E-3</v>
      </c>
      <c r="AA114" s="36">
        <v>32</v>
      </c>
      <c r="AB114" s="36">
        <v>7312</v>
      </c>
      <c r="AC114" s="43">
        <v>4.3759999999999997E-3</v>
      </c>
      <c r="AD114" s="36">
        <v>42</v>
      </c>
      <c r="AE114" s="36">
        <v>6842</v>
      </c>
      <c r="AF114" s="44">
        <v>6.1380000000000002E-3</v>
      </c>
    </row>
    <row r="115" spans="2:32" x14ac:dyDescent="0.2">
      <c r="B115" s="42" t="s">
        <v>15</v>
      </c>
      <c r="C115" s="36">
        <v>0</v>
      </c>
      <c r="D115" s="36">
        <v>1586</v>
      </c>
      <c r="E115" s="43">
        <v>0</v>
      </c>
      <c r="F115" s="36">
        <v>0</v>
      </c>
      <c r="G115" s="36">
        <v>1200</v>
      </c>
      <c r="H115" s="43">
        <v>0</v>
      </c>
      <c r="I115" s="36">
        <v>0</v>
      </c>
      <c r="J115" s="36">
        <v>1284</v>
      </c>
      <c r="K115" s="43">
        <v>0</v>
      </c>
      <c r="L115" s="36">
        <v>0</v>
      </c>
      <c r="M115" s="36">
        <v>1212</v>
      </c>
      <c r="N115" s="43">
        <v>0</v>
      </c>
      <c r="O115" s="36">
        <v>0</v>
      </c>
      <c r="P115" s="36">
        <v>1022</v>
      </c>
      <c r="Q115" s="43">
        <v>0</v>
      </c>
      <c r="R115" s="36">
        <v>0</v>
      </c>
      <c r="S115" s="36">
        <v>711</v>
      </c>
      <c r="T115" s="43">
        <v>0</v>
      </c>
      <c r="U115" s="36">
        <v>0</v>
      </c>
      <c r="V115" s="36">
        <v>746</v>
      </c>
      <c r="W115" s="43">
        <v>0</v>
      </c>
      <c r="X115" s="36">
        <v>0</v>
      </c>
      <c r="Y115" s="36">
        <v>755</v>
      </c>
      <c r="Z115" s="43">
        <v>0</v>
      </c>
      <c r="AA115" s="36">
        <v>0</v>
      </c>
      <c r="AB115" s="36">
        <v>469</v>
      </c>
      <c r="AC115" s="43">
        <v>0</v>
      </c>
      <c r="AD115" s="36">
        <v>0</v>
      </c>
      <c r="AE115" s="36">
        <v>618</v>
      </c>
      <c r="AF115" s="44">
        <v>0</v>
      </c>
    </row>
    <row r="116" spans="2:32" x14ac:dyDescent="0.2">
      <c r="B116" s="42" t="s">
        <v>16</v>
      </c>
      <c r="C116" s="36">
        <v>0</v>
      </c>
      <c r="D116" s="36">
        <v>7315</v>
      </c>
      <c r="E116" s="43">
        <v>0</v>
      </c>
      <c r="F116" s="36">
        <v>1</v>
      </c>
      <c r="G116" s="36">
        <v>6991</v>
      </c>
      <c r="H116" s="43">
        <v>1.4300000000000001E-4</v>
      </c>
      <c r="I116" s="36">
        <v>2</v>
      </c>
      <c r="J116" s="36">
        <v>6520</v>
      </c>
      <c r="K116" s="43">
        <v>3.0600000000000001E-4</v>
      </c>
      <c r="L116" s="36">
        <v>0</v>
      </c>
      <c r="M116" s="36">
        <v>6080</v>
      </c>
      <c r="N116" s="43">
        <v>0</v>
      </c>
      <c r="O116" s="36">
        <v>0</v>
      </c>
      <c r="P116" s="36">
        <v>5712</v>
      </c>
      <c r="Q116" s="43">
        <v>0</v>
      </c>
      <c r="R116" s="36">
        <v>0</v>
      </c>
      <c r="S116" s="36">
        <v>5368</v>
      </c>
      <c r="T116" s="43">
        <v>0</v>
      </c>
      <c r="U116" s="36">
        <v>1</v>
      </c>
      <c r="V116" s="36">
        <v>5224</v>
      </c>
      <c r="W116" s="43">
        <v>1.9100000000000001E-4</v>
      </c>
      <c r="X116" s="36">
        <v>47</v>
      </c>
      <c r="Y116" s="36">
        <v>5225</v>
      </c>
      <c r="Z116" s="43">
        <v>8.9949999999999995E-3</v>
      </c>
      <c r="AA116" s="36">
        <v>48</v>
      </c>
      <c r="AB116" s="36">
        <v>4869</v>
      </c>
      <c r="AC116" s="43">
        <v>9.8580000000000004E-3</v>
      </c>
      <c r="AD116" s="36">
        <v>38</v>
      </c>
      <c r="AE116" s="36">
        <v>4703</v>
      </c>
      <c r="AF116" s="44">
        <v>8.0789999999999994E-3</v>
      </c>
    </row>
    <row r="117" spans="2:32" x14ac:dyDescent="0.2">
      <c r="B117" s="42" t="s">
        <v>17</v>
      </c>
      <c r="C117" s="36">
        <v>0</v>
      </c>
      <c r="D117" s="36">
        <v>7387</v>
      </c>
      <c r="E117" s="43">
        <v>0</v>
      </c>
      <c r="F117" s="36">
        <v>0</v>
      </c>
      <c r="G117" s="36">
        <v>7353</v>
      </c>
      <c r="H117" s="43">
        <v>0</v>
      </c>
      <c r="I117" s="36">
        <v>0</v>
      </c>
      <c r="J117" s="36">
        <v>6943</v>
      </c>
      <c r="K117" s="43">
        <v>0</v>
      </c>
      <c r="L117" s="36">
        <v>0</v>
      </c>
      <c r="M117" s="36">
        <v>6778</v>
      </c>
      <c r="N117" s="43">
        <v>0</v>
      </c>
      <c r="O117" s="36">
        <v>0</v>
      </c>
      <c r="P117" s="36">
        <v>6820</v>
      </c>
      <c r="Q117" s="43">
        <v>0</v>
      </c>
      <c r="R117" s="36">
        <v>0</v>
      </c>
      <c r="S117" s="36">
        <v>6828</v>
      </c>
      <c r="T117" s="43">
        <v>0</v>
      </c>
      <c r="U117" s="36">
        <v>0</v>
      </c>
      <c r="V117" s="36">
        <v>6830</v>
      </c>
      <c r="W117" s="43">
        <v>0</v>
      </c>
      <c r="X117" s="36">
        <v>1</v>
      </c>
      <c r="Y117" s="36">
        <v>6742</v>
      </c>
      <c r="Z117" s="43">
        <v>1.4799999999999999E-4</v>
      </c>
      <c r="AA117" s="36">
        <v>0</v>
      </c>
      <c r="AB117" s="36">
        <v>6425</v>
      </c>
      <c r="AC117" s="43">
        <v>0</v>
      </c>
      <c r="AD117" s="36">
        <v>0</v>
      </c>
      <c r="AE117" s="36">
        <v>6214</v>
      </c>
      <c r="AF117" s="44">
        <v>0</v>
      </c>
    </row>
    <row r="118" spans="2:32" x14ac:dyDescent="0.2">
      <c r="B118" s="42" t="s">
        <v>18</v>
      </c>
      <c r="C118" s="36">
        <v>0</v>
      </c>
      <c r="D118" s="36">
        <v>8642</v>
      </c>
      <c r="E118" s="43">
        <v>0</v>
      </c>
      <c r="F118" s="36">
        <v>0</v>
      </c>
      <c r="G118" s="36">
        <v>8262</v>
      </c>
      <c r="H118" s="43">
        <v>0</v>
      </c>
      <c r="I118" s="36">
        <v>0</v>
      </c>
      <c r="J118" s="36">
        <v>7462</v>
      </c>
      <c r="K118" s="43">
        <v>0</v>
      </c>
      <c r="L118" s="36">
        <v>0</v>
      </c>
      <c r="M118" s="36">
        <v>7098</v>
      </c>
      <c r="N118" s="43">
        <v>0</v>
      </c>
      <c r="O118" s="36">
        <v>2</v>
      </c>
      <c r="P118" s="36">
        <v>6837</v>
      </c>
      <c r="Q118" s="43">
        <v>2.92E-4</v>
      </c>
      <c r="R118" s="36">
        <v>1</v>
      </c>
      <c r="S118" s="36">
        <v>6550</v>
      </c>
      <c r="T118" s="43">
        <v>1.5200000000000001E-4</v>
      </c>
      <c r="U118" s="36">
        <v>0</v>
      </c>
      <c r="V118" s="36">
        <v>6181</v>
      </c>
      <c r="W118" s="43">
        <v>0</v>
      </c>
      <c r="X118" s="36">
        <v>0</v>
      </c>
      <c r="Y118" s="36">
        <v>5575</v>
      </c>
      <c r="Z118" s="43">
        <v>0</v>
      </c>
      <c r="AA118" s="36">
        <v>0</v>
      </c>
      <c r="AB118" s="36">
        <v>4834</v>
      </c>
      <c r="AC118" s="43">
        <v>0</v>
      </c>
      <c r="AD118" s="36">
        <v>0</v>
      </c>
      <c r="AE118" s="36">
        <v>4646</v>
      </c>
      <c r="AF118" s="44">
        <v>0</v>
      </c>
    </row>
    <row r="119" spans="2:32" x14ac:dyDescent="0.2">
      <c r="B119" s="42" t="s">
        <v>19</v>
      </c>
      <c r="C119" s="36">
        <v>72</v>
      </c>
      <c r="D119" s="36">
        <v>15126</v>
      </c>
      <c r="E119" s="43">
        <v>4.7600000000000003E-3</v>
      </c>
      <c r="F119" s="36">
        <v>67</v>
      </c>
      <c r="G119" s="36">
        <v>15132</v>
      </c>
      <c r="H119" s="43">
        <v>4.4270000000000004E-3</v>
      </c>
      <c r="I119" s="36">
        <v>337</v>
      </c>
      <c r="J119" s="36">
        <v>15596</v>
      </c>
      <c r="K119" s="43">
        <v>2.1607999999999999E-2</v>
      </c>
      <c r="L119" s="36">
        <v>297</v>
      </c>
      <c r="M119" s="36">
        <v>14925</v>
      </c>
      <c r="N119" s="43">
        <v>1.9899E-2</v>
      </c>
      <c r="O119" s="36">
        <v>295</v>
      </c>
      <c r="P119" s="36">
        <v>14571</v>
      </c>
      <c r="Q119" s="43">
        <v>2.0244999999999999E-2</v>
      </c>
      <c r="R119" s="36">
        <v>335</v>
      </c>
      <c r="S119" s="36">
        <v>14035</v>
      </c>
      <c r="T119" s="43">
        <v>2.3868E-2</v>
      </c>
      <c r="U119" s="36">
        <v>304</v>
      </c>
      <c r="V119" s="36">
        <v>13114</v>
      </c>
      <c r="W119" s="43">
        <v>2.3181E-2</v>
      </c>
      <c r="X119" s="36">
        <v>289</v>
      </c>
      <c r="Y119" s="36">
        <v>12562</v>
      </c>
      <c r="Z119" s="43">
        <v>2.3005000000000001E-2</v>
      </c>
      <c r="AA119" s="36">
        <v>338</v>
      </c>
      <c r="AB119" s="36">
        <v>11581</v>
      </c>
      <c r="AC119" s="43">
        <v>2.9184999999999999E-2</v>
      </c>
      <c r="AD119" s="36">
        <v>289</v>
      </c>
      <c r="AE119" s="36">
        <v>10636</v>
      </c>
      <c r="AF119" s="44">
        <v>2.7171000000000001E-2</v>
      </c>
    </row>
    <row r="120" spans="2:32" x14ac:dyDescent="0.2">
      <c r="B120" s="42" t="s">
        <v>20</v>
      </c>
      <c r="C120" s="36">
        <v>0</v>
      </c>
      <c r="D120" s="36">
        <v>10707</v>
      </c>
      <c r="E120" s="43">
        <v>0</v>
      </c>
      <c r="F120" s="36">
        <v>0</v>
      </c>
      <c r="G120" s="36">
        <v>10283</v>
      </c>
      <c r="H120" s="43">
        <v>0</v>
      </c>
      <c r="I120" s="36">
        <v>0</v>
      </c>
      <c r="J120" s="36">
        <v>9804</v>
      </c>
      <c r="K120" s="43">
        <v>0</v>
      </c>
      <c r="L120" s="36">
        <v>0</v>
      </c>
      <c r="M120" s="36">
        <v>9513</v>
      </c>
      <c r="N120" s="43">
        <v>0</v>
      </c>
      <c r="O120" s="36">
        <v>0</v>
      </c>
      <c r="P120" s="36">
        <v>9218</v>
      </c>
      <c r="Q120" s="43">
        <v>0</v>
      </c>
      <c r="R120" s="36">
        <v>0</v>
      </c>
      <c r="S120" s="36">
        <v>9000</v>
      </c>
      <c r="T120" s="43">
        <v>0</v>
      </c>
      <c r="U120" s="36">
        <v>0</v>
      </c>
      <c r="V120" s="36">
        <v>8513</v>
      </c>
      <c r="W120" s="43">
        <v>0</v>
      </c>
      <c r="X120" s="36">
        <v>0</v>
      </c>
      <c r="Y120" s="36">
        <v>8329</v>
      </c>
      <c r="Z120" s="43">
        <v>0</v>
      </c>
      <c r="AA120" s="36">
        <v>0</v>
      </c>
      <c r="AB120" s="36">
        <v>8309</v>
      </c>
      <c r="AC120" s="43">
        <v>0</v>
      </c>
      <c r="AD120" s="36">
        <v>0</v>
      </c>
      <c r="AE120" s="36">
        <v>8199</v>
      </c>
      <c r="AF120" s="44">
        <v>0</v>
      </c>
    </row>
    <row r="121" spans="2:32" x14ac:dyDescent="0.2">
      <c r="B121" s="42" t="s">
        <v>21</v>
      </c>
      <c r="C121" s="36">
        <v>0</v>
      </c>
      <c r="D121" s="36">
        <v>5451</v>
      </c>
      <c r="E121" s="43">
        <v>0</v>
      </c>
      <c r="F121" s="36">
        <v>0</v>
      </c>
      <c r="G121" s="36">
        <v>5366</v>
      </c>
      <c r="H121" s="43">
        <v>0</v>
      </c>
      <c r="I121" s="36">
        <v>0</v>
      </c>
      <c r="J121" s="36">
        <v>5328</v>
      </c>
      <c r="K121" s="43">
        <v>0</v>
      </c>
      <c r="L121" s="36">
        <v>0</v>
      </c>
      <c r="M121" s="36">
        <v>5260</v>
      </c>
      <c r="N121" s="43">
        <v>0</v>
      </c>
      <c r="O121" s="36">
        <v>0</v>
      </c>
      <c r="P121" s="36">
        <v>4917</v>
      </c>
      <c r="Q121" s="43">
        <v>0</v>
      </c>
      <c r="R121" s="36">
        <v>0</v>
      </c>
      <c r="S121" s="36">
        <v>4607</v>
      </c>
      <c r="T121" s="43">
        <v>0</v>
      </c>
      <c r="U121" s="36">
        <v>0</v>
      </c>
      <c r="V121" s="36">
        <v>4220</v>
      </c>
      <c r="W121" s="43">
        <v>0</v>
      </c>
      <c r="X121" s="36">
        <v>0</v>
      </c>
      <c r="Y121" s="36">
        <v>3827</v>
      </c>
      <c r="Z121" s="43">
        <v>0</v>
      </c>
      <c r="AA121" s="36">
        <v>0</v>
      </c>
      <c r="AB121" s="36">
        <v>3425</v>
      </c>
      <c r="AC121" s="43">
        <v>0</v>
      </c>
      <c r="AD121" s="36">
        <v>0</v>
      </c>
      <c r="AE121" s="36">
        <v>3162</v>
      </c>
      <c r="AF121" s="44">
        <v>0</v>
      </c>
    </row>
    <row r="122" spans="2:32" x14ac:dyDescent="0.2">
      <c r="B122" s="42" t="s">
        <v>22</v>
      </c>
      <c r="C122" s="36">
        <v>0</v>
      </c>
      <c r="D122" s="36">
        <v>3411</v>
      </c>
      <c r="E122" s="43">
        <v>0</v>
      </c>
      <c r="F122" s="36">
        <v>0</v>
      </c>
      <c r="G122" s="36">
        <v>3275</v>
      </c>
      <c r="H122" s="43">
        <v>0</v>
      </c>
      <c r="I122" s="36">
        <v>0</v>
      </c>
      <c r="J122" s="36">
        <v>3131</v>
      </c>
      <c r="K122" s="43">
        <v>0</v>
      </c>
      <c r="L122" s="36">
        <v>0</v>
      </c>
      <c r="M122" s="36">
        <v>2970</v>
      </c>
      <c r="N122" s="43">
        <v>0</v>
      </c>
      <c r="O122" s="36">
        <v>0</v>
      </c>
      <c r="P122" s="36">
        <v>2752</v>
      </c>
      <c r="Q122" s="43">
        <v>0</v>
      </c>
      <c r="R122" s="36">
        <v>13</v>
      </c>
      <c r="S122" s="36">
        <v>2389</v>
      </c>
      <c r="T122" s="43">
        <v>5.4409999999999997E-3</v>
      </c>
      <c r="U122" s="36">
        <v>11</v>
      </c>
      <c r="V122" s="36">
        <v>2207</v>
      </c>
      <c r="W122" s="43">
        <v>4.9839999999999997E-3</v>
      </c>
      <c r="X122" s="36">
        <v>25</v>
      </c>
      <c r="Y122" s="36">
        <v>1922</v>
      </c>
      <c r="Z122" s="43">
        <v>1.3006999999999999E-2</v>
      </c>
      <c r="AA122" s="36">
        <v>13</v>
      </c>
      <c r="AB122" s="36">
        <v>1650</v>
      </c>
      <c r="AC122" s="43">
        <v>7.8779999999999996E-3</v>
      </c>
      <c r="AD122" s="36">
        <v>0</v>
      </c>
      <c r="AE122" s="36">
        <v>1663</v>
      </c>
      <c r="AF122" s="44">
        <v>0</v>
      </c>
    </row>
    <row r="123" spans="2:32" x14ac:dyDescent="0.2">
      <c r="B123" s="42" t="s">
        <v>23</v>
      </c>
      <c r="C123" s="36">
        <v>0</v>
      </c>
      <c r="D123" s="36">
        <v>8729</v>
      </c>
      <c r="E123" s="43">
        <v>0</v>
      </c>
      <c r="F123" s="36">
        <v>0</v>
      </c>
      <c r="G123" s="36">
        <v>8725</v>
      </c>
      <c r="H123" s="43">
        <v>0</v>
      </c>
      <c r="I123" s="36">
        <v>0</v>
      </c>
      <c r="J123" s="36">
        <v>8368</v>
      </c>
      <c r="K123" s="43">
        <v>0</v>
      </c>
      <c r="L123" s="36">
        <v>0</v>
      </c>
      <c r="M123" s="36">
        <v>8279</v>
      </c>
      <c r="N123" s="43">
        <v>0</v>
      </c>
      <c r="O123" s="36">
        <v>0</v>
      </c>
      <c r="P123" s="36">
        <v>8047</v>
      </c>
      <c r="Q123" s="43">
        <v>0</v>
      </c>
      <c r="R123" s="36">
        <v>0</v>
      </c>
      <c r="S123" s="36">
        <v>7988</v>
      </c>
      <c r="T123" s="43">
        <v>0</v>
      </c>
      <c r="U123" s="36">
        <v>0</v>
      </c>
      <c r="V123" s="36">
        <v>7927</v>
      </c>
      <c r="W123" s="43">
        <v>0</v>
      </c>
      <c r="X123" s="36">
        <v>0</v>
      </c>
      <c r="Y123" s="36">
        <v>7748</v>
      </c>
      <c r="Z123" s="43">
        <v>0</v>
      </c>
      <c r="AA123" s="36">
        <v>0</v>
      </c>
      <c r="AB123" s="36">
        <v>7781</v>
      </c>
      <c r="AC123" s="43">
        <v>0</v>
      </c>
      <c r="AD123" s="36">
        <v>1</v>
      </c>
      <c r="AE123" s="36">
        <v>7817</v>
      </c>
      <c r="AF123" s="44">
        <v>1.27E-4</v>
      </c>
    </row>
    <row r="124" spans="2:32" x14ac:dyDescent="0.2">
      <c r="B124" s="42" t="s">
        <v>24</v>
      </c>
      <c r="C124" s="36">
        <v>0</v>
      </c>
      <c r="D124" s="36">
        <v>8326</v>
      </c>
      <c r="E124" s="43">
        <v>0</v>
      </c>
      <c r="F124" s="36">
        <v>0</v>
      </c>
      <c r="G124" s="36">
        <v>8183</v>
      </c>
      <c r="H124" s="43">
        <v>0</v>
      </c>
      <c r="I124" s="36">
        <v>0</v>
      </c>
      <c r="J124" s="36">
        <v>7724</v>
      </c>
      <c r="K124" s="43">
        <v>0</v>
      </c>
      <c r="L124" s="36">
        <v>0</v>
      </c>
      <c r="M124" s="36">
        <v>7548</v>
      </c>
      <c r="N124" s="43">
        <v>0</v>
      </c>
      <c r="O124" s="36">
        <v>0</v>
      </c>
      <c r="P124" s="36">
        <v>7355</v>
      </c>
      <c r="Q124" s="43">
        <v>0</v>
      </c>
      <c r="R124" s="36">
        <v>0</v>
      </c>
      <c r="S124" s="36">
        <v>7058</v>
      </c>
      <c r="T124" s="43">
        <v>0</v>
      </c>
      <c r="U124" s="36">
        <v>0</v>
      </c>
      <c r="V124" s="36">
        <v>6989</v>
      </c>
      <c r="W124" s="43">
        <v>0</v>
      </c>
      <c r="X124" s="36">
        <v>0</v>
      </c>
      <c r="Y124" s="36">
        <v>6581</v>
      </c>
      <c r="Z124" s="43">
        <v>0</v>
      </c>
      <c r="AA124" s="36">
        <v>0</v>
      </c>
      <c r="AB124" s="36">
        <v>6408</v>
      </c>
      <c r="AC124" s="43">
        <v>0</v>
      </c>
      <c r="AD124" s="36">
        <v>2</v>
      </c>
      <c r="AE124" s="36">
        <v>6096</v>
      </c>
      <c r="AF124" s="44">
        <v>3.28E-4</v>
      </c>
    </row>
    <row r="125" spans="2:32" x14ac:dyDescent="0.2">
      <c r="B125" s="42" t="s">
        <v>25</v>
      </c>
      <c r="C125" s="36">
        <v>104</v>
      </c>
      <c r="D125" s="36">
        <v>8852</v>
      </c>
      <c r="E125" s="43">
        <v>1.1748E-2</v>
      </c>
      <c r="F125" s="36">
        <v>3</v>
      </c>
      <c r="G125" s="36">
        <v>8712</v>
      </c>
      <c r="H125" s="43">
        <v>3.4400000000000001E-4</v>
      </c>
      <c r="I125" s="36">
        <v>3</v>
      </c>
      <c r="J125" s="36">
        <v>8559</v>
      </c>
      <c r="K125" s="43">
        <v>3.5E-4</v>
      </c>
      <c r="L125" s="36">
        <v>4</v>
      </c>
      <c r="M125" s="36">
        <v>8347</v>
      </c>
      <c r="N125" s="43">
        <v>4.7899999999999999E-4</v>
      </c>
      <c r="O125" s="36">
        <v>3</v>
      </c>
      <c r="P125" s="36">
        <v>8495</v>
      </c>
      <c r="Q125" s="43">
        <v>3.5300000000000002E-4</v>
      </c>
      <c r="R125" s="36">
        <v>2</v>
      </c>
      <c r="S125" s="36">
        <v>8628</v>
      </c>
      <c r="T125" s="43">
        <v>2.31E-4</v>
      </c>
      <c r="U125" s="36">
        <v>1</v>
      </c>
      <c r="V125" s="36">
        <v>8881</v>
      </c>
      <c r="W125" s="43">
        <v>1.12E-4</v>
      </c>
      <c r="X125" s="36">
        <v>1</v>
      </c>
      <c r="Y125" s="36">
        <v>8895</v>
      </c>
      <c r="Z125" s="43">
        <v>1.12E-4</v>
      </c>
      <c r="AA125" s="36">
        <v>3</v>
      </c>
      <c r="AB125" s="36">
        <v>8824</v>
      </c>
      <c r="AC125" s="43">
        <v>3.39E-4</v>
      </c>
      <c r="AD125" s="36">
        <v>1</v>
      </c>
      <c r="AE125" s="36">
        <v>8806</v>
      </c>
      <c r="AF125" s="44">
        <v>1.13E-4</v>
      </c>
    </row>
    <row r="126" spans="2:32" x14ac:dyDescent="0.2">
      <c r="B126" s="42" t="s">
        <v>26</v>
      </c>
      <c r="C126" s="36">
        <v>0</v>
      </c>
      <c r="D126" s="36">
        <v>14490</v>
      </c>
      <c r="E126" s="43">
        <v>0</v>
      </c>
      <c r="F126" s="36">
        <v>0</v>
      </c>
      <c r="G126" s="36">
        <v>15100</v>
      </c>
      <c r="H126" s="43">
        <v>0</v>
      </c>
      <c r="I126" s="36">
        <v>0</v>
      </c>
      <c r="J126" s="36">
        <v>15411</v>
      </c>
      <c r="K126" s="43">
        <v>0</v>
      </c>
      <c r="L126" s="36">
        <v>0</v>
      </c>
      <c r="M126" s="36">
        <v>15845</v>
      </c>
      <c r="N126" s="43">
        <v>0</v>
      </c>
      <c r="O126" s="36">
        <v>0</v>
      </c>
      <c r="P126" s="36">
        <v>16086</v>
      </c>
      <c r="Q126" s="43">
        <v>0</v>
      </c>
      <c r="R126" s="36">
        <v>19</v>
      </c>
      <c r="S126" s="36">
        <v>16606</v>
      </c>
      <c r="T126" s="43">
        <v>1.1440000000000001E-3</v>
      </c>
      <c r="U126" s="36">
        <v>9</v>
      </c>
      <c r="V126" s="36">
        <v>17006</v>
      </c>
      <c r="W126" s="43">
        <v>5.2899999999999996E-4</v>
      </c>
      <c r="X126" s="36">
        <v>21</v>
      </c>
      <c r="Y126" s="36">
        <v>17336</v>
      </c>
      <c r="Z126" s="43">
        <v>1.2110000000000001E-3</v>
      </c>
      <c r="AA126" s="36">
        <v>14</v>
      </c>
      <c r="AB126" s="36">
        <v>17552</v>
      </c>
      <c r="AC126" s="43">
        <v>7.9699999999999997E-4</v>
      </c>
      <c r="AD126" s="36">
        <v>12</v>
      </c>
      <c r="AE126" s="36">
        <v>17691</v>
      </c>
      <c r="AF126" s="44">
        <v>6.78E-4</v>
      </c>
    </row>
    <row r="127" spans="2:32" ht="15" x14ac:dyDescent="0.25">
      <c r="B127" s="37" t="s">
        <v>27</v>
      </c>
      <c r="C127" s="38">
        <f>SUBTOTAL(109,'Enrollment by Program Level'!$C$113:$C$126)</f>
        <v>209</v>
      </c>
      <c r="D127" s="38">
        <f>SUBTOTAL(109,'Enrollment by Program Level'!$D$113:$D$126)</f>
        <v>119513</v>
      </c>
      <c r="E127" s="45">
        <f xml:space="preserve"> 'Enrollment by Program Level'!$C$127 / 'Enrollment by Program Level'!$D$127</f>
        <v>1.748763732815677E-3</v>
      </c>
      <c r="F127" s="38">
        <f>SUBTOTAL(109,'Enrollment by Program Level'!$F$113:$F$126)</f>
        <v>100</v>
      </c>
      <c r="G127" s="38">
        <f>SUBTOTAL(109,'Enrollment by Program Level'!$G$113:$G$126)</f>
        <v>118224</v>
      </c>
      <c r="H127" s="45">
        <f xml:space="preserve"> 'Enrollment by Program Level'!$F$127 / 'Enrollment by Program Level'!$G$127</f>
        <v>8.4585194207605898E-4</v>
      </c>
      <c r="I127" s="38">
        <f>SUBTOTAL(109,'Enrollment by Program Level'!$I$113:$I$126)</f>
        <v>355</v>
      </c>
      <c r="J127" s="38">
        <f>SUBTOTAL(109,'Enrollment by Program Level'!$J$113:$J$126)</f>
        <v>114688</v>
      </c>
      <c r="K127" s="45">
        <f xml:space="preserve"> 'Enrollment by Program Level'!$I$127 / 'Enrollment by Program Level'!$J$127</f>
        <v>3.0953543526785715E-3</v>
      </c>
      <c r="L127" s="38">
        <f>SUBTOTAL(109,'Enrollment by Program Level'!$L$113:$L$126)</f>
        <v>311</v>
      </c>
      <c r="M127" s="38">
        <f>SUBTOTAL(109,'Enrollment by Program Level'!$M$113:$M$126)</f>
        <v>112225</v>
      </c>
      <c r="N127" s="45">
        <f xml:space="preserve"> 'Enrollment by Program Level'!$L$127 / 'Enrollment by Program Level'!$M$127</f>
        <v>2.7712185341946982E-3</v>
      </c>
      <c r="O127" s="38">
        <f>SUBTOTAL(109,'Enrollment by Program Level'!$O$113:$O$126)</f>
        <v>305</v>
      </c>
      <c r="P127" s="38">
        <f>SUBTOTAL(109,'Enrollment by Program Level'!$P$113:$P$126)</f>
        <v>109808</v>
      </c>
      <c r="Q127" s="45">
        <f xml:space="preserve"> 'Enrollment by Program Level'!$O$127 / 'Enrollment by Program Level'!$P$127</f>
        <v>2.7775754043421245E-3</v>
      </c>
      <c r="R127" s="38">
        <f>SUBTOTAL(109,'Enrollment by Program Level'!$R$113:$R$126)</f>
        <v>381</v>
      </c>
      <c r="S127" s="38">
        <f>SUBTOTAL(109,'Enrollment by Program Level'!$S$113:$S$126)</f>
        <v>107399</v>
      </c>
      <c r="T127" s="45">
        <f xml:space="preserve"> 'Enrollment by Program Level'!$R$127  / 'Enrollment by Program Level'!$S$127</f>
        <v>3.5475190644233185E-3</v>
      </c>
      <c r="U127" s="38">
        <f>SUBTOTAL(109,'Enrollment by Program Level'!$U$113:$U$126)</f>
        <v>342</v>
      </c>
      <c r="V127" s="38">
        <f>SUBTOTAL(109,'Enrollment by Program Level'!$V$113:$V$126)</f>
        <v>105049</v>
      </c>
      <c r="W127" s="45">
        <f xml:space="preserve"> 'Enrollment by Program Level'!$U$127 / 'Enrollment by Program Level'!$V$127</f>
        <v>3.2556235661453225E-3</v>
      </c>
      <c r="X127" s="38">
        <f>SUBTOTAL(109,'Enrollment by Program Level'!$X$113:$X$126)</f>
        <v>428</v>
      </c>
      <c r="Y127" s="38">
        <f>SUBTOTAL(109,'Enrollment by Program Level'!$Y$113:$Y$126)</f>
        <v>102572</v>
      </c>
      <c r="Z127" s="45">
        <f>'Enrollment by Program Level'!$X$127 / 'Enrollment by Program Level'!$Y$127</f>
        <v>4.1726787037398121E-3</v>
      </c>
      <c r="AA127" s="38">
        <f>SUBTOTAL(109,'Enrollment by Program Level'!$AA$113:$AA$126)</f>
        <v>460</v>
      </c>
      <c r="AB127" s="38">
        <f>SUBTOTAL(109,'Enrollment by Program Level'!$AB$113:$AB$126)</f>
        <v>98363</v>
      </c>
      <c r="AC127" s="45">
        <f xml:space="preserve"> 'Enrollment by Program Level'!$AA$127 / 'Enrollment by Program Level'!$AB$127</f>
        <v>4.6765552087675247E-3</v>
      </c>
      <c r="AD127" s="38">
        <f>SUBTOTAL(109,'Enrollment by Program Level'!$AD$113:$AD$126)</f>
        <v>406</v>
      </c>
      <c r="AE127" s="38">
        <f>SUBTOTAL(109,'Enrollment by Program Level'!$AE$113:$AE$126)</f>
        <v>95782</v>
      </c>
      <c r="AF127" s="46">
        <f xml:space="preserve"> 'Enrollment by Program Level'!$AD$127 / 'Enrollment by Program Level'!$AE$127</f>
        <v>4.2387922574178864E-3</v>
      </c>
    </row>
  </sheetData>
  <mergeCells count="73">
    <mergeCell ref="B109:AF109"/>
    <mergeCell ref="B110:B111"/>
    <mergeCell ref="C110:E110"/>
    <mergeCell ref="F110:H110"/>
    <mergeCell ref="I110:K110"/>
    <mergeCell ref="L110:N110"/>
    <mergeCell ref="O110:Q110"/>
    <mergeCell ref="R110:T110"/>
    <mergeCell ref="U110:W110"/>
    <mergeCell ref="X110:Z110"/>
    <mergeCell ref="AA110:AC110"/>
    <mergeCell ref="AD110:AF110"/>
    <mergeCell ref="B1:AF1"/>
    <mergeCell ref="B2:AF2"/>
    <mergeCell ref="C3:E3"/>
    <mergeCell ref="F3:H3"/>
    <mergeCell ref="I3:K3"/>
    <mergeCell ref="L3:N3"/>
    <mergeCell ref="O3:Q3"/>
    <mergeCell ref="R3:T3"/>
    <mergeCell ref="U3:W3"/>
    <mergeCell ref="X3:Z3"/>
    <mergeCell ref="AA3:AC3"/>
    <mergeCell ref="AD3:AF3"/>
    <mergeCell ref="B3:B4"/>
    <mergeCell ref="B23:AF23"/>
    <mergeCell ref="C24:E24"/>
    <mergeCell ref="F24:H24"/>
    <mergeCell ref="I24:K24"/>
    <mergeCell ref="L24:N24"/>
    <mergeCell ref="O24:Q24"/>
    <mergeCell ref="R24:T24"/>
    <mergeCell ref="U24:W24"/>
    <mergeCell ref="U45:W45"/>
    <mergeCell ref="X45:Z45"/>
    <mergeCell ref="AA45:AC45"/>
    <mergeCell ref="AD45:AF45"/>
    <mergeCell ref="X24:Z24"/>
    <mergeCell ref="AA24:AC24"/>
    <mergeCell ref="AD24:AF24"/>
    <mergeCell ref="B44:AF44"/>
    <mergeCell ref="C45:E45"/>
    <mergeCell ref="F45:H45"/>
    <mergeCell ref="I45:K45"/>
    <mergeCell ref="L45:N45"/>
    <mergeCell ref="O45:Q45"/>
    <mergeCell ref="R45:T45"/>
    <mergeCell ref="B24:B25"/>
    <mergeCell ref="B45:B46"/>
    <mergeCell ref="B64:AF64"/>
    <mergeCell ref="B65:B66"/>
    <mergeCell ref="C65:E65"/>
    <mergeCell ref="F65:H65"/>
    <mergeCell ref="I65:K65"/>
    <mergeCell ref="L65:N65"/>
    <mergeCell ref="O65:Q65"/>
    <mergeCell ref="R65:T65"/>
    <mergeCell ref="U65:W65"/>
    <mergeCell ref="X65:Z65"/>
    <mergeCell ref="AA65:AC65"/>
    <mergeCell ref="AD65:AF65"/>
    <mergeCell ref="B85:AF85"/>
    <mergeCell ref="B86:B87"/>
    <mergeCell ref="C86:E86"/>
    <mergeCell ref="F86:H86"/>
    <mergeCell ref="I86:K86"/>
    <mergeCell ref="L86:N86"/>
    <mergeCell ref="O86:Q86"/>
    <mergeCell ref="R86:T86"/>
    <mergeCell ref="U86:W86"/>
    <mergeCell ref="X86:Z86"/>
    <mergeCell ref="AA86:AC86"/>
    <mergeCell ref="AD86:AF86"/>
  </mergeCells>
  <printOptions horizontalCentered="1"/>
  <pageMargins left="0.5" right="0.5" top="1" bottom="0.5" header="0.3" footer="0.3"/>
  <pageSetup paperSize="17" scale="52" fitToHeight="0" orientation="landscape" r:id="rId1"/>
  <headerFooter>
    <oddHeader>&amp;L&amp;"Arial,Regular"&amp;10Pennsylvania's State System of Higher Education | &amp;D
Office of Educational Intelligence | Page &amp;P of &amp;N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B1:BA25"/>
  <sheetViews>
    <sheetView zoomScaleNormal="100" workbookViewId="0">
      <selection activeCell="C33" sqref="C33"/>
    </sheetView>
  </sheetViews>
  <sheetFormatPr defaultRowHeight="14.25" x14ac:dyDescent="0.2"/>
  <cols>
    <col min="1" max="1" width="9.140625" style="5"/>
    <col min="2" max="2" width="23.5703125" style="5" customWidth="1"/>
    <col min="3" max="32" width="11.7109375" style="5" customWidth="1"/>
    <col min="33" max="52" width="9.140625" style="5"/>
    <col min="53" max="53" width="36.140625" style="5" bestFit="1" customWidth="1"/>
    <col min="54" max="54" width="32.5703125" style="5" bestFit="1" customWidth="1"/>
    <col min="55" max="16384" width="9.140625" style="5"/>
  </cols>
  <sheetData>
    <row r="1" spans="2:53" ht="15" x14ac:dyDescent="0.2">
      <c r="B1" s="131" t="s">
        <v>0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</row>
    <row r="2" spans="2:53" ht="15" x14ac:dyDescent="0.2">
      <c r="B2" s="131" t="s">
        <v>201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</row>
    <row r="3" spans="2:53" ht="15" x14ac:dyDescent="0.2">
      <c r="B3" s="131" t="s">
        <v>82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</row>
    <row r="4" spans="2:53" ht="15" x14ac:dyDescent="0.2">
      <c r="B4" s="127" t="s">
        <v>242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</row>
    <row r="5" spans="2:53" x14ac:dyDescent="0.2">
      <c r="B5" s="134" t="s">
        <v>1</v>
      </c>
      <c r="C5" s="133" t="str">
        <f>CONCATENATE(IF(RIGHT(Parameters!B1,1) = "1","Fall ", "Spring "),IF(RIGHT(Parameters!B1,1) = "1",LEFT(Parameters!B1,4) -9, LEFT(Parameters!B1,4) - 8))</f>
        <v>Fall 2010</v>
      </c>
      <c r="D5" s="133"/>
      <c r="E5" s="133"/>
      <c r="F5" s="133" t="str">
        <f>CONCATENATE(IF(RIGHT(Parameters!B1,1) = "1","Fall ", "Spring "),IF(RIGHT(Parameters!B1,1) = "1",LEFT(Parameters!B1,4) -8, LEFT(Parameters!B1,4) - 7))</f>
        <v>Fall 2011</v>
      </c>
      <c r="G5" s="133"/>
      <c r="H5" s="133"/>
      <c r="I5" s="133" t="str">
        <f>CONCATENATE(IF(RIGHT(Parameters!B1,1) = "1","Fall ", "Spring "),IF(RIGHT(Parameters!B1,1) = "1",LEFT(Parameters!B1,4) -7, LEFT(Parameters!B1,4) - 6))</f>
        <v>Fall 2012</v>
      </c>
      <c r="J5" s="133"/>
      <c r="K5" s="133"/>
      <c r="L5" s="133" t="str">
        <f>CONCATENATE(IF(RIGHT(Parameters!B1,1) = "1","Fall ", "Spring "),IF(RIGHT(Parameters!B1,1) = "1",LEFT(Parameters!B1,4) -6, LEFT(Parameters!B1,4) - 5))</f>
        <v>Fall 2013</v>
      </c>
      <c r="M5" s="133"/>
      <c r="N5" s="133"/>
      <c r="O5" s="133" t="str">
        <f>CONCATENATE(IF(RIGHT(Parameters!B1,1) = "1","Fall ", "Spring "),IF(RIGHT(Parameters!B1,1) = "1",LEFT(Parameters!B1,4) -5, LEFT(Parameters!B1,4) - 4))</f>
        <v>Fall 2014</v>
      </c>
      <c r="P5" s="133"/>
      <c r="Q5" s="133"/>
      <c r="R5" s="133" t="str">
        <f>CONCATENATE(IF(RIGHT(Parameters!B1,1) = "1","Fall ", "Spring "),IF(RIGHT(Parameters!B1,1) = "1",LEFT(Parameters!B1,4) -4, LEFT(Parameters!B1,4) - 3))</f>
        <v>Fall 2015</v>
      </c>
      <c r="S5" s="133"/>
      <c r="T5" s="133"/>
      <c r="U5" s="133" t="str">
        <f>CONCATENATE(IF(RIGHT(Parameters!B1,1) = "1","Fall ", "Spring "),IF(RIGHT(Parameters!B1,1) = "1",LEFT(Parameters!B1,4) -3, LEFT(Parameters!B1,4) -2 ))</f>
        <v>Fall 2016</v>
      </c>
      <c r="V5" s="133"/>
      <c r="W5" s="133"/>
      <c r="X5" s="133" t="str">
        <f>CONCATENATE(IF(RIGHT(Parameters!B1,1) = "1","Fall ", "Spring "),IF(RIGHT(Parameters!B1,1) = "1",LEFT(Parameters!B1,4) -2, LEFT(Parameters!B1,4) -1 ))</f>
        <v>Fall 2017</v>
      </c>
      <c r="Y5" s="133"/>
      <c r="Z5" s="133"/>
      <c r="AA5" s="133" t="str">
        <f>CONCATENATE(IF(RIGHT(Parameters!B1,1) = "1","Fall ", "Spring "),IF(RIGHT(Parameters!B1,1) = "1",LEFT(Parameters!B1,4) -1, LEFT(Parameters!B1,4)  ))</f>
        <v>Fall 2018</v>
      </c>
      <c r="AB5" s="133"/>
      <c r="AC5" s="133"/>
      <c r="AD5" s="133" t="str">
        <f>CONCATENATE(IF(RIGHT(Parameters!B1,1) = "1","Fall ", "Spring "),IF(RIGHT(Parameters!B1,1) = "1",LEFT(Parameters!B1,4), LEFT(Parameters!B1,4) + 1))</f>
        <v>Fall 2019</v>
      </c>
      <c r="AE5" s="133"/>
      <c r="AF5" s="133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</row>
    <row r="6" spans="2:53" ht="63" customHeight="1" x14ac:dyDescent="0.2">
      <c r="B6" s="135"/>
      <c r="C6" s="54" t="str">
        <f>CONCATENATE("# Enrolled in ", TRIM(MID(B4,3,40)))</f>
        <v># Enrolled in Doctoral Degree</v>
      </c>
      <c r="D6" s="54" t="s">
        <v>82</v>
      </c>
      <c r="E6" s="54" t="str">
        <f>CONCATENATE("% ", TRIM(MID(B4,3,40)))</f>
        <v>% Doctoral Degree</v>
      </c>
      <c r="F6" s="54" t="str">
        <f>CONCATENATE("# Enrolled in ", TRIM(MID(B4,3,40)))</f>
        <v># Enrolled in Doctoral Degree</v>
      </c>
      <c r="G6" s="54" t="s">
        <v>82</v>
      </c>
      <c r="H6" s="54" t="str">
        <f>CONCATENATE("% ", TRIM(MID(B4,3,40)))</f>
        <v>% Doctoral Degree</v>
      </c>
      <c r="I6" s="54" t="str">
        <f>CONCATENATE("# Enrolled in ", TRIM(MID(B4,3,40)))</f>
        <v># Enrolled in Doctoral Degree</v>
      </c>
      <c r="J6" s="54" t="s">
        <v>82</v>
      </c>
      <c r="K6" s="54" t="str">
        <f>CONCATENATE("% ", TRIM(MID(B4,3,40)))</f>
        <v>% Doctoral Degree</v>
      </c>
      <c r="L6" s="54" t="str">
        <f>CONCATENATE("# Enrolled in ", TRIM(MID(B4,3,40)))</f>
        <v># Enrolled in Doctoral Degree</v>
      </c>
      <c r="M6" s="54" t="s">
        <v>82</v>
      </c>
      <c r="N6" s="54" t="str">
        <f>CONCATENATE("% ", TRIM(MID(B4,3,40)))</f>
        <v>% Doctoral Degree</v>
      </c>
      <c r="O6" s="54" t="str">
        <f>CONCATENATE("# Enrolled in ", TRIM(MID(B4,3,40)))</f>
        <v># Enrolled in Doctoral Degree</v>
      </c>
      <c r="P6" s="54" t="s">
        <v>82</v>
      </c>
      <c r="Q6" s="54" t="str">
        <f>CONCATENATE("% ", TRIM(MID(B4,3,40)))</f>
        <v>% Doctoral Degree</v>
      </c>
      <c r="R6" s="54" t="str">
        <f>CONCATENATE("# Enrolled in ", TRIM(MID(B4,3,40)))</f>
        <v># Enrolled in Doctoral Degree</v>
      </c>
      <c r="S6" s="54" t="s">
        <v>82</v>
      </c>
      <c r="T6" s="54" t="str">
        <f>CONCATENATE("% ", TRIM(MID(B4,3,40)))</f>
        <v>% Doctoral Degree</v>
      </c>
      <c r="U6" s="54" t="str">
        <f>CONCATENATE("# Enrolled in ", TRIM(MID(B4,3,40)))</f>
        <v># Enrolled in Doctoral Degree</v>
      </c>
      <c r="V6" s="54" t="s">
        <v>82</v>
      </c>
      <c r="W6" s="54" t="str">
        <f>CONCATENATE("% ", TRIM(MID(B4,3,40)))</f>
        <v>% Doctoral Degree</v>
      </c>
      <c r="X6" s="54" t="str">
        <f>CONCATENATE("# Enrolled in ", TRIM(MID(B4,3,40)))</f>
        <v># Enrolled in Doctoral Degree</v>
      </c>
      <c r="Y6" s="54" t="s">
        <v>82</v>
      </c>
      <c r="Z6" s="54" t="str">
        <f>CONCATENATE("% ", TRIM(MID(B4,3,40)))</f>
        <v>% Doctoral Degree</v>
      </c>
      <c r="AA6" s="54" t="str">
        <f>CONCATENATE("# Enrolled in ", TRIM(MID(B4,3,40)))</f>
        <v># Enrolled in Doctoral Degree</v>
      </c>
      <c r="AB6" s="54" t="s">
        <v>82</v>
      </c>
      <c r="AC6" s="54" t="str">
        <f>CONCATENATE("% ", TRIM(MID(B4,3,40)))</f>
        <v>% Doctoral Degree</v>
      </c>
      <c r="AD6" s="54" t="str">
        <f>CONCATENATE("# Enrolled in ", TRIM(MID(B4,3,40)))</f>
        <v># Enrolled in Doctoral Degree</v>
      </c>
      <c r="AE6" s="54" t="s">
        <v>82</v>
      </c>
      <c r="AF6" s="54" t="str">
        <f>CONCATENATE("% ", TRIM(MID(B4,3,40)))</f>
        <v>% Doctoral Degree</v>
      </c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</row>
    <row r="7" spans="2:53" ht="17.25" hidden="1" customHeight="1" thickBot="1" x14ac:dyDescent="0.3">
      <c r="B7" s="26" t="s">
        <v>2</v>
      </c>
      <c r="C7" s="26" t="s">
        <v>84</v>
      </c>
      <c r="D7" s="26" t="s">
        <v>85</v>
      </c>
      <c r="E7" s="26" t="s">
        <v>86</v>
      </c>
      <c r="F7" s="26" t="s">
        <v>87</v>
      </c>
      <c r="G7" s="26" t="s">
        <v>88</v>
      </c>
      <c r="H7" s="26" t="s">
        <v>89</v>
      </c>
      <c r="I7" s="26" t="s">
        <v>90</v>
      </c>
      <c r="J7" s="26" t="s">
        <v>91</v>
      </c>
      <c r="K7" s="26" t="s">
        <v>92</v>
      </c>
      <c r="L7" s="26" t="s">
        <v>93</v>
      </c>
      <c r="M7" s="26" t="s">
        <v>94</v>
      </c>
      <c r="N7" s="26" t="s">
        <v>95</v>
      </c>
      <c r="O7" s="26" t="s">
        <v>96</v>
      </c>
      <c r="P7" s="26" t="s">
        <v>97</v>
      </c>
      <c r="Q7" s="26" t="s">
        <v>98</v>
      </c>
      <c r="R7" s="26" t="s">
        <v>99</v>
      </c>
      <c r="S7" s="26" t="s">
        <v>100</v>
      </c>
      <c r="T7" s="26" t="s">
        <v>101</v>
      </c>
      <c r="U7" s="26" t="s">
        <v>102</v>
      </c>
      <c r="V7" s="26" t="s">
        <v>103</v>
      </c>
      <c r="W7" s="26" t="s">
        <v>104</v>
      </c>
      <c r="X7" s="26" t="s">
        <v>105</v>
      </c>
      <c r="Y7" s="26" t="s">
        <v>106</v>
      </c>
      <c r="Z7" s="26" t="s">
        <v>147</v>
      </c>
      <c r="AA7" s="26" t="s">
        <v>108</v>
      </c>
      <c r="AB7" s="26" t="s">
        <v>109</v>
      </c>
      <c r="AC7" s="26" t="s">
        <v>110</v>
      </c>
      <c r="AD7" s="26" t="s">
        <v>111</v>
      </c>
      <c r="AE7" s="26" t="s">
        <v>112</v>
      </c>
      <c r="AF7" s="26" t="s">
        <v>113</v>
      </c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31" t="s">
        <v>269</v>
      </c>
    </row>
    <row r="8" spans="2:53" x14ac:dyDescent="0.2">
      <c r="B8" s="67" t="s">
        <v>13</v>
      </c>
      <c r="C8" s="57">
        <v>57</v>
      </c>
      <c r="D8" s="57">
        <v>10091</v>
      </c>
      <c r="E8" s="68">
        <v>5.6480000000000002E-3</v>
      </c>
      <c r="F8" s="57">
        <v>55</v>
      </c>
      <c r="G8" s="57">
        <v>10159</v>
      </c>
      <c r="H8" s="68">
        <v>5.4130000000000003E-3</v>
      </c>
      <c r="I8" s="57">
        <v>0</v>
      </c>
      <c r="J8" s="57">
        <v>9950</v>
      </c>
      <c r="K8" s="68">
        <v>0</v>
      </c>
      <c r="L8" s="57">
        <v>0</v>
      </c>
      <c r="M8" s="57">
        <v>10127</v>
      </c>
      <c r="N8" s="68">
        <v>0</v>
      </c>
      <c r="O8" s="57">
        <v>0</v>
      </c>
      <c r="P8" s="57">
        <v>9998</v>
      </c>
      <c r="Q8" s="68">
        <v>0</v>
      </c>
      <c r="R8" s="57">
        <v>0</v>
      </c>
      <c r="S8" s="57">
        <v>9777</v>
      </c>
      <c r="T8" s="68">
        <v>0</v>
      </c>
      <c r="U8" s="57">
        <v>0</v>
      </c>
      <c r="V8" s="57">
        <v>9658</v>
      </c>
      <c r="W8" s="68">
        <v>0</v>
      </c>
      <c r="X8" s="57">
        <v>9</v>
      </c>
      <c r="Y8" s="57">
        <v>9287</v>
      </c>
      <c r="Z8" s="68">
        <v>9.6900000000000003E-4</v>
      </c>
      <c r="AA8" s="57">
        <v>12</v>
      </c>
      <c r="AB8" s="57">
        <v>8924</v>
      </c>
      <c r="AC8" s="68">
        <v>1.3439999999999999E-3</v>
      </c>
      <c r="AD8" s="57">
        <v>0</v>
      </c>
      <c r="AE8" s="57">
        <v>8689</v>
      </c>
      <c r="AF8" s="68">
        <v>0</v>
      </c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48" t="s">
        <v>233</v>
      </c>
    </row>
    <row r="9" spans="2:53" x14ac:dyDescent="0.2">
      <c r="B9" s="69" t="s">
        <v>14</v>
      </c>
      <c r="C9" s="59">
        <v>0</v>
      </c>
      <c r="D9" s="59">
        <v>9400</v>
      </c>
      <c r="E9" s="70">
        <v>0</v>
      </c>
      <c r="F9" s="59">
        <v>0</v>
      </c>
      <c r="G9" s="59">
        <v>9483</v>
      </c>
      <c r="H9" s="70">
        <v>0</v>
      </c>
      <c r="I9" s="59">
        <v>0</v>
      </c>
      <c r="J9" s="59">
        <v>8608</v>
      </c>
      <c r="K9" s="70">
        <v>0</v>
      </c>
      <c r="L9" s="59">
        <v>0</v>
      </c>
      <c r="M9" s="59">
        <v>8243</v>
      </c>
      <c r="N9" s="70">
        <v>0</v>
      </c>
      <c r="O9" s="59">
        <v>0</v>
      </c>
      <c r="P9" s="59">
        <v>7978</v>
      </c>
      <c r="Q9" s="70">
        <v>0</v>
      </c>
      <c r="R9" s="59">
        <v>0</v>
      </c>
      <c r="S9" s="59">
        <v>7854</v>
      </c>
      <c r="T9" s="70">
        <v>0</v>
      </c>
      <c r="U9" s="59">
        <v>4</v>
      </c>
      <c r="V9" s="59">
        <v>7553</v>
      </c>
      <c r="W9" s="70">
        <v>5.2899999999999996E-4</v>
      </c>
      <c r="X9" s="59">
        <v>36</v>
      </c>
      <c r="Y9" s="59">
        <v>7788</v>
      </c>
      <c r="Z9" s="70">
        <v>4.6220000000000002E-3</v>
      </c>
      <c r="AA9" s="59">
        <v>117</v>
      </c>
      <c r="AB9" s="59">
        <v>7312</v>
      </c>
      <c r="AC9" s="70">
        <v>1.6001000000000001E-2</v>
      </c>
      <c r="AD9" s="59">
        <v>0</v>
      </c>
      <c r="AE9" s="59">
        <v>6842</v>
      </c>
      <c r="AF9" s="70">
        <v>0</v>
      </c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49" t="s">
        <v>234</v>
      </c>
    </row>
    <row r="10" spans="2:53" x14ac:dyDescent="0.2">
      <c r="B10" s="69" t="s">
        <v>15</v>
      </c>
      <c r="C10" s="59">
        <v>0</v>
      </c>
      <c r="D10" s="59">
        <v>1586</v>
      </c>
      <c r="E10" s="70">
        <v>0</v>
      </c>
      <c r="F10" s="59">
        <v>0</v>
      </c>
      <c r="G10" s="59">
        <v>1200</v>
      </c>
      <c r="H10" s="70">
        <v>0</v>
      </c>
      <c r="I10" s="59">
        <v>0</v>
      </c>
      <c r="J10" s="59">
        <v>1284</v>
      </c>
      <c r="K10" s="70">
        <v>0</v>
      </c>
      <c r="L10" s="59">
        <v>0</v>
      </c>
      <c r="M10" s="59">
        <v>1212</v>
      </c>
      <c r="N10" s="70">
        <v>0</v>
      </c>
      <c r="O10" s="59">
        <v>0</v>
      </c>
      <c r="P10" s="59">
        <v>1022</v>
      </c>
      <c r="Q10" s="70">
        <v>0</v>
      </c>
      <c r="R10" s="59">
        <v>0</v>
      </c>
      <c r="S10" s="59">
        <v>711</v>
      </c>
      <c r="T10" s="70">
        <v>0</v>
      </c>
      <c r="U10" s="59">
        <v>0</v>
      </c>
      <c r="V10" s="59">
        <v>746</v>
      </c>
      <c r="W10" s="70">
        <v>0</v>
      </c>
      <c r="X10" s="59">
        <v>0</v>
      </c>
      <c r="Y10" s="59">
        <v>755</v>
      </c>
      <c r="Z10" s="70">
        <v>0</v>
      </c>
      <c r="AA10" s="59">
        <v>0</v>
      </c>
      <c r="AB10" s="59">
        <v>469</v>
      </c>
      <c r="AC10" s="70">
        <v>0</v>
      </c>
      <c r="AD10" s="59">
        <v>0</v>
      </c>
      <c r="AE10" s="59">
        <v>618</v>
      </c>
      <c r="AF10" s="70">
        <v>0</v>
      </c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48" t="s">
        <v>235</v>
      </c>
    </row>
    <row r="11" spans="2:53" x14ac:dyDescent="0.2">
      <c r="B11" s="69" t="s">
        <v>16</v>
      </c>
      <c r="C11" s="59">
        <v>0</v>
      </c>
      <c r="D11" s="59">
        <v>7315</v>
      </c>
      <c r="E11" s="70">
        <v>0</v>
      </c>
      <c r="F11" s="59">
        <v>0</v>
      </c>
      <c r="G11" s="59">
        <v>6991</v>
      </c>
      <c r="H11" s="70">
        <v>0</v>
      </c>
      <c r="I11" s="59">
        <v>0</v>
      </c>
      <c r="J11" s="59">
        <v>6520</v>
      </c>
      <c r="K11" s="70">
        <v>0</v>
      </c>
      <c r="L11" s="59">
        <v>0</v>
      </c>
      <c r="M11" s="59">
        <v>6080</v>
      </c>
      <c r="N11" s="70">
        <v>0</v>
      </c>
      <c r="O11" s="59">
        <v>0</v>
      </c>
      <c r="P11" s="59">
        <v>5712</v>
      </c>
      <c r="Q11" s="70">
        <v>0</v>
      </c>
      <c r="R11" s="59">
        <v>0</v>
      </c>
      <c r="S11" s="59">
        <v>5368</v>
      </c>
      <c r="T11" s="70">
        <v>0</v>
      </c>
      <c r="U11" s="59">
        <v>9</v>
      </c>
      <c r="V11" s="59">
        <v>5224</v>
      </c>
      <c r="W11" s="70">
        <v>1.722E-3</v>
      </c>
      <c r="X11" s="59">
        <v>10</v>
      </c>
      <c r="Y11" s="59">
        <v>5225</v>
      </c>
      <c r="Z11" s="70">
        <v>1.913E-3</v>
      </c>
      <c r="AA11" s="59">
        <v>12</v>
      </c>
      <c r="AB11" s="59">
        <v>4869</v>
      </c>
      <c r="AC11" s="70">
        <v>2.464E-3</v>
      </c>
      <c r="AD11" s="59">
        <v>0</v>
      </c>
      <c r="AE11" s="59">
        <v>4703</v>
      </c>
      <c r="AF11" s="70">
        <v>0</v>
      </c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49" t="s">
        <v>236</v>
      </c>
    </row>
    <row r="12" spans="2:53" x14ac:dyDescent="0.2">
      <c r="B12" s="69" t="s">
        <v>17</v>
      </c>
      <c r="C12" s="59">
        <v>67</v>
      </c>
      <c r="D12" s="59">
        <v>7387</v>
      </c>
      <c r="E12" s="70">
        <v>9.0690000000000007E-3</v>
      </c>
      <c r="F12" s="59">
        <v>41</v>
      </c>
      <c r="G12" s="59">
        <v>7353</v>
      </c>
      <c r="H12" s="70">
        <v>5.5750000000000001E-3</v>
      </c>
      <c r="I12" s="59">
        <v>56</v>
      </c>
      <c r="J12" s="59">
        <v>6943</v>
      </c>
      <c r="K12" s="70">
        <v>8.0649999999999993E-3</v>
      </c>
      <c r="L12" s="59">
        <v>48</v>
      </c>
      <c r="M12" s="59">
        <v>6778</v>
      </c>
      <c r="N12" s="70">
        <v>7.0809999999999996E-3</v>
      </c>
      <c r="O12" s="59">
        <v>64</v>
      </c>
      <c r="P12" s="59">
        <v>6820</v>
      </c>
      <c r="Q12" s="70">
        <v>9.384E-3</v>
      </c>
      <c r="R12" s="59">
        <v>56</v>
      </c>
      <c r="S12" s="59">
        <v>6828</v>
      </c>
      <c r="T12" s="70">
        <v>8.201E-3</v>
      </c>
      <c r="U12" s="59">
        <v>63</v>
      </c>
      <c r="V12" s="59">
        <v>6830</v>
      </c>
      <c r="W12" s="70">
        <v>9.2239999999999996E-3</v>
      </c>
      <c r="X12" s="59">
        <v>58</v>
      </c>
      <c r="Y12" s="59">
        <v>6742</v>
      </c>
      <c r="Z12" s="70">
        <v>8.6020000000000003E-3</v>
      </c>
      <c r="AA12" s="59">
        <v>76</v>
      </c>
      <c r="AB12" s="59">
        <v>6425</v>
      </c>
      <c r="AC12" s="70">
        <v>1.1828E-2</v>
      </c>
      <c r="AD12" s="59">
        <v>0</v>
      </c>
      <c r="AE12" s="59">
        <v>6214</v>
      </c>
      <c r="AF12" s="70">
        <v>0</v>
      </c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48" t="s">
        <v>237</v>
      </c>
    </row>
    <row r="13" spans="2:53" x14ac:dyDescent="0.2">
      <c r="B13" s="69" t="s">
        <v>18</v>
      </c>
      <c r="C13" s="59">
        <v>0</v>
      </c>
      <c r="D13" s="59">
        <v>8642</v>
      </c>
      <c r="E13" s="70">
        <v>0</v>
      </c>
      <c r="F13" s="59">
        <v>0</v>
      </c>
      <c r="G13" s="59">
        <v>8262</v>
      </c>
      <c r="H13" s="70">
        <v>0</v>
      </c>
      <c r="I13" s="59">
        <v>0</v>
      </c>
      <c r="J13" s="59">
        <v>7462</v>
      </c>
      <c r="K13" s="70">
        <v>0</v>
      </c>
      <c r="L13" s="59">
        <v>0</v>
      </c>
      <c r="M13" s="59">
        <v>7098</v>
      </c>
      <c r="N13" s="70">
        <v>0</v>
      </c>
      <c r="O13" s="59">
        <v>0</v>
      </c>
      <c r="P13" s="59">
        <v>6837</v>
      </c>
      <c r="Q13" s="70">
        <v>0</v>
      </c>
      <c r="R13" s="59">
        <v>11</v>
      </c>
      <c r="S13" s="59">
        <v>6550</v>
      </c>
      <c r="T13" s="70">
        <v>1.6789999999999999E-3</v>
      </c>
      <c r="U13" s="59">
        <v>15</v>
      </c>
      <c r="V13" s="59">
        <v>6181</v>
      </c>
      <c r="W13" s="70">
        <v>2.4260000000000002E-3</v>
      </c>
      <c r="X13" s="59">
        <v>18</v>
      </c>
      <c r="Y13" s="59">
        <v>5575</v>
      </c>
      <c r="Z13" s="70">
        <v>3.228E-3</v>
      </c>
      <c r="AA13" s="59">
        <v>26</v>
      </c>
      <c r="AB13" s="59">
        <v>4834</v>
      </c>
      <c r="AC13" s="70">
        <v>5.378E-3</v>
      </c>
      <c r="AD13" s="59">
        <v>0</v>
      </c>
      <c r="AE13" s="59">
        <v>4646</v>
      </c>
      <c r="AF13" s="70">
        <v>0</v>
      </c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49" t="s">
        <v>238</v>
      </c>
    </row>
    <row r="14" spans="2:53" x14ac:dyDescent="0.2">
      <c r="B14" s="69" t="s">
        <v>19</v>
      </c>
      <c r="C14" s="59">
        <v>808</v>
      </c>
      <c r="D14" s="59">
        <v>15126</v>
      </c>
      <c r="E14" s="70">
        <v>5.3416999999999999E-2</v>
      </c>
      <c r="F14" s="59">
        <v>810</v>
      </c>
      <c r="G14" s="59">
        <v>15132</v>
      </c>
      <c r="H14" s="70">
        <v>5.3527999999999999E-2</v>
      </c>
      <c r="I14" s="59">
        <v>833</v>
      </c>
      <c r="J14" s="59">
        <v>15596</v>
      </c>
      <c r="K14" s="70">
        <v>5.3411E-2</v>
      </c>
      <c r="L14" s="59">
        <v>824</v>
      </c>
      <c r="M14" s="59">
        <v>14925</v>
      </c>
      <c r="N14" s="70">
        <v>5.5209000000000001E-2</v>
      </c>
      <c r="O14" s="59">
        <v>822</v>
      </c>
      <c r="P14" s="59">
        <v>14571</v>
      </c>
      <c r="Q14" s="70">
        <v>5.6412999999999998E-2</v>
      </c>
      <c r="R14" s="59">
        <v>708</v>
      </c>
      <c r="S14" s="59">
        <v>14035</v>
      </c>
      <c r="T14" s="70">
        <v>5.0444999999999997E-2</v>
      </c>
      <c r="U14" s="59">
        <v>743</v>
      </c>
      <c r="V14" s="59">
        <v>13114</v>
      </c>
      <c r="W14" s="70">
        <v>5.6656999999999999E-2</v>
      </c>
      <c r="X14" s="59">
        <v>740</v>
      </c>
      <c r="Y14" s="59">
        <v>12562</v>
      </c>
      <c r="Z14" s="70">
        <v>5.8907000000000001E-2</v>
      </c>
      <c r="AA14" s="59">
        <v>749</v>
      </c>
      <c r="AB14" s="59">
        <v>11581</v>
      </c>
      <c r="AC14" s="70">
        <v>6.4673999999999995E-2</v>
      </c>
      <c r="AD14" s="59">
        <v>764</v>
      </c>
      <c r="AE14" s="59">
        <v>10636</v>
      </c>
      <c r="AF14" s="70">
        <v>7.1831000000000006E-2</v>
      </c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48" t="s">
        <v>239</v>
      </c>
    </row>
    <row r="15" spans="2:53" x14ac:dyDescent="0.2">
      <c r="B15" s="69" t="s">
        <v>20</v>
      </c>
      <c r="C15" s="59">
        <v>0</v>
      </c>
      <c r="D15" s="59">
        <v>10707</v>
      </c>
      <c r="E15" s="70">
        <v>0</v>
      </c>
      <c r="F15" s="59">
        <v>0</v>
      </c>
      <c r="G15" s="59">
        <v>10283</v>
      </c>
      <c r="H15" s="70">
        <v>0</v>
      </c>
      <c r="I15" s="59">
        <v>0</v>
      </c>
      <c r="J15" s="59">
        <v>9804</v>
      </c>
      <c r="K15" s="70">
        <v>0</v>
      </c>
      <c r="L15" s="59">
        <v>0</v>
      </c>
      <c r="M15" s="59">
        <v>9513</v>
      </c>
      <c r="N15" s="70">
        <v>0</v>
      </c>
      <c r="O15" s="59">
        <v>0</v>
      </c>
      <c r="P15" s="59">
        <v>9218</v>
      </c>
      <c r="Q15" s="70">
        <v>0</v>
      </c>
      <c r="R15" s="59">
        <v>8</v>
      </c>
      <c r="S15" s="59">
        <v>9000</v>
      </c>
      <c r="T15" s="70">
        <v>8.8800000000000001E-4</v>
      </c>
      <c r="U15" s="59">
        <v>16</v>
      </c>
      <c r="V15" s="59">
        <v>8513</v>
      </c>
      <c r="W15" s="70">
        <v>1.879E-3</v>
      </c>
      <c r="X15" s="59">
        <v>32</v>
      </c>
      <c r="Y15" s="59">
        <v>8329</v>
      </c>
      <c r="Z15" s="70">
        <v>3.8409999999999998E-3</v>
      </c>
      <c r="AA15" s="59">
        <v>40</v>
      </c>
      <c r="AB15" s="59">
        <v>8309</v>
      </c>
      <c r="AC15" s="70">
        <v>4.8139999999999997E-3</v>
      </c>
      <c r="AD15" s="59">
        <v>0</v>
      </c>
      <c r="AE15" s="59">
        <v>8199</v>
      </c>
      <c r="AF15" s="70">
        <v>0</v>
      </c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49" t="s">
        <v>240</v>
      </c>
    </row>
    <row r="16" spans="2:53" x14ac:dyDescent="0.2">
      <c r="B16" s="69" t="s">
        <v>21</v>
      </c>
      <c r="C16" s="59">
        <v>0</v>
      </c>
      <c r="D16" s="59">
        <v>5451</v>
      </c>
      <c r="E16" s="70">
        <v>0</v>
      </c>
      <c r="F16" s="59">
        <v>0</v>
      </c>
      <c r="G16" s="59">
        <v>5366</v>
      </c>
      <c r="H16" s="70">
        <v>0</v>
      </c>
      <c r="I16" s="59">
        <v>0</v>
      </c>
      <c r="J16" s="59">
        <v>5328</v>
      </c>
      <c r="K16" s="70">
        <v>0</v>
      </c>
      <c r="L16" s="59">
        <v>0</v>
      </c>
      <c r="M16" s="59">
        <v>5260</v>
      </c>
      <c r="N16" s="70">
        <v>0</v>
      </c>
      <c r="O16" s="59">
        <v>0</v>
      </c>
      <c r="P16" s="59">
        <v>4917</v>
      </c>
      <c r="Q16" s="70">
        <v>0</v>
      </c>
      <c r="R16" s="59">
        <v>0</v>
      </c>
      <c r="S16" s="59">
        <v>4607</v>
      </c>
      <c r="T16" s="70">
        <v>0</v>
      </c>
      <c r="U16" s="59">
        <v>0</v>
      </c>
      <c r="V16" s="59">
        <v>4220</v>
      </c>
      <c r="W16" s="70">
        <v>0</v>
      </c>
      <c r="X16" s="59">
        <v>0</v>
      </c>
      <c r="Y16" s="59">
        <v>3827</v>
      </c>
      <c r="Z16" s="70">
        <v>0</v>
      </c>
      <c r="AA16" s="59">
        <v>0</v>
      </c>
      <c r="AB16" s="59">
        <v>3425</v>
      </c>
      <c r="AC16" s="70">
        <v>0</v>
      </c>
      <c r="AD16" s="59">
        <v>0</v>
      </c>
      <c r="AE16" s="59">
        <v>3162</v>
      </c>
      <c r="AF16" s="70">
        <v>0</v>
      </c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48" t="s">
        <v>241</v>
      </c>
    </row>
    <row r="17" spans="2:53" x14ac:dyDescent="0.2">
      <c r="B17" s="69" t="s">
        <v>22</v>
      </c>
      <c r="C17" s="59">
        <v>0</v>
      </c>
      <c r="D17" s="59">
        <v>3411</v>
      </c>
      <c r="E17" s="70">
        <v>0</v>
      </c>
      <c r="F17" s="59">
        <v>0</v>
      </c>
      <c r="G17" s="59">
        <v>3275</v>
      </c>
      <c r="H17" s="70">
        <v>0</v>
      </c>
      <c r="I17" s="59">
        <v>0</v>
      </c>
      <c r="J17" s="59">
        <v>3131</v>
      </c>
      <c r="K17" s="70">
        <v>0</v>
      </c>
      <c r="L17" s="59">
        <v>0</v>
      </c>
      <c r="M17" s="59">
        <v>2970</v>
      </c>
      <c r="N17" s="70">
        <v>0</v>
      </c>
      <c r="O17" s="59">
        <v>0</v>
      </c>
      <c r="P17" s="59">
        <v>2752</v>
      </c>
      <c r="Q17" s="70">
        <v>0</v>
      </c>
      <c r="R17" s="59">
        <v>0</v>
      </c>
      <c r="S17" s="59">
        <v>2389</v>
      </c>
      <c r="T17" s="70">
        <v>0</v>
      </c>
      <c r="U17" s="59">
        <v>0</v>
      </c>
      <c r="V17" s="59">
        <v>2207</v>
      </c>
      <c r="W17" s="70">
        <v>0</v>
      </c>
      <c r="X17" s="59">
        <v>0</v>
      </c>
      <c r="Y17" s="59">
        <v>1922</v>
      </c>
      <c r="Z17" s="70">
        <v>0</v>
      </c>
      <c r="AA17" s="59">
        <v>0</v>
      </c>
      <c r="AB17" s="59">
        <v>1650</v>
      </c>
      <c r="AC17" s="70">
        <v>0</v>
      </c>
      <c r="AD17" s="59">
        <v>0</v>
      </c>
      <c r="AE17" s="59">
        <v>1683</v>
      </c>
      <c r="AF17" s="70">
        <v>0</v>
      </c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49" t="s">
        <v>242</v>
      </c>
    </row>
    <row r="18" spans="2:53" x14ac:dyDescent="0.2">
      <c r="B18" s="69" t="s">
        <v>23</v>
      </c>
      <c r="C18" s="59">
        <v>0</v>
      </c>
      <c r="D18" s="59">
        <v>8729</v>
      </c>
      <c r="E18" s="70">
        <v>0</v>
      </c>
      <c r="F18" s="59">
        <v>0</v>
      </c>
      <c r="G18" s="59">
        <v>8725</v>
      </c>
      <c r="H18" s="70">
        <v>0</v>
      </c>
      <c r="I18" s="59">
        <v>0</v>
      </c>
      <c r="J18" s="59">
        <v>8368</v>
      </c>
      <c r="K18" s="70">
        <v>0</v>
      </c>
      <c r="L18" s="59">
        <v>0</v>
      </c>
      <c r="M18" s="59">
        <v>8279</v>
      </c>
      <c r="N18" s="70">
        <v>0</v>
      </c>
      <c r="O18" s="59">
        <v>0</v>
      </c>
      <c r="P18" s="59">
        <v>8047</v>
      </c>
      <c r="Q18" s="70">
        <v>0</v>
      </c>
      <c r="R18" s="59">
        <v>13</v>
      </c>
      <c r="S18" s="59">
        <v>7988</v>
      </c>
      <c r="T18" s="70">
        <v>1.627E-3</v>
      </c>
      <c r="U18" s="59">
        <v>32</v>
      </c>
      <c r="V18" s="59">
        <v>7927</v>
      </c>
      <c r="W18" s="70">
        <v>4.0359999999999997E-3</v>
      </c>
      <c r="X18" s="59">
        <v>42</v>
      </c>
      <c r="Y18" s="59">
        <v>7748</v>
      </c>
      <c r="Z18" s="70">
        <v>5.4200000000000003E-3</v>
      </c>
      <c r="AA18" s="59">
        <v>46</v>
      </c>
      <c r="AB18" s="59">
        <v>7781</v>
      </c>
      <c r="AC18" s="70">
        <v>5.9109999999999996E-3</v>
      </c>
      <c r="AD18" s="59">
        <v>0</v>
      </c>
      <c r="AE18" s="59">
        <v>7817</v>
      </c>
      <c r="AF18" s="70">
        <v>0</v>
      </c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48" t="s">
        <v>243</v>
      </c>
    </row>
    <row r="19" spans="2:53" x14ac:dyDescent="0.2">
      <c r="B19" s="69" t="s">
        <v>24</v>
      </c>
      <c r="C19" s="59">
        <v>0</v>
      </c>
      <c r="D19" s="59">
        <v>8326</v>
      </c>
      <c r="E19" s="70">
        <v>0</v>
      </c>
      <c r="F19" s="59">
        <v>0</v>
      </c>
      <c r="G19" s="59">
        <v>8183</v>
      </c>
      <c r="H19" s="70">
        <v>0</v>
      </c>
      <c r="I19" s="59">
        <v>0</v>
      </c>
      <c r="J19" s="59">
        <v>7724</v>
      </c>
      <c r="K19" s="70">
        <v>0</v>
      </c>
      <c r="L19" s="59">
        <v>0</v>
      </c>
      <c r="M19" s="59">
        <v>7548</v>
      </c>
      <c r="N19" s="70">
        <v>0</v>
      </c>
      <c r="O19" s="59">
        <v>0</v>
      </c>
      <c r="P19" s="59">
        <v>7355</v>
      </c>
      <c r="Q19" s="70">
        <v>0</v>
      </c>
      <c r="R19" s="59">
        <v>10</v>
      </c>
      <c r="S19" s="59">
        <v>7058</v>
      </c>
      <c r="T19" s="70">
        <v>1.4159999999999999E-3</v>
      </c>
      <c r="U19" s="59">
        <v>23</v>
      </c>
      <c r="V19" s="59">
        <v>6989</v>
      </c>
      <c r="W19" s="70">
        <v>3.29E-3</v>
      </c>
      <c r="X19" s="59">
        <v>45</v>
      </c>
      <c r="Y19" s="59">
        <v>6581</v>
      </c>
      <c r="Z19" s="70">
        <v>6.8370000000000002E-3</v>
      </c>
      <c r="AA19" s="59">
        <v>44</v>
      </c>
      <c r="AB19" s="59">
        <v>6408</v>
      </c>
      <c r="AC19" s="70">
        <v>6.8659999999999997E-3</v>
      </c>
      <c r="AD19" s="59">
        <v>0</v>
      </c>
      <c r="AE19" s="59">
        <v>6096</v>
      </c>
      <c r="AF19" s="70">
        <v>0</v>
      </c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49" t="s">
        <v>244</v>
      </c>
    </row>
    <row r="20" spans="2:53" x14ac:dyDescent="0.2">
      <c r="B20" s="69" t="s">
        <v>25</v>
      </c>
      <c r="C20" s="59">
        <v>136</v>
      </c>
      <c r="D20" s="59">
        <v>8852</v>
      </c>
      <c r="E20" s="70">
        <v>1.5363E-2</v>
      </c>
      <c r="F20" s="59">
        <v>131</v>
      </c>
      <c r="G20" s="59">
        <v>8712</v>
      </c>
      <c r="H20" s="70">
        <v>1.5036000000000001E-2</v>
      </c>
      <c r="I20" s="59">
        <v>0</v>
      </c>
      <c r="J20" s="59">
        <v>8559</v>
      </c>
      <c r="K20" s="70">
        <v>0</v>
      </c>
      <c r="L20" s="59">
        <v>0</v>
      </c>
      <c r="M20" s="59">
        <v>8347</v>
      </c>
      <c r="N20" s="70">
        <v>0</v>
      </c>
      <c r="O20" s="59">
        <v>0</v>
      </c>
      <c r="P20" s="59">
        <v>8495</v>
      </c>
      <c r="Q20" s="70">
        <v>0</v>
      </c>
      <c r="R20" s="59">
        <v>23</v>
      </c>
      <c r="S20" s="59">
        <v>8628</v>
      </c>
      <c r="T20" s="70">
        <v>2.6649999999999998E-3</v>
      </c>
      <c r="U20" s="59">
        <v>48</v>
      </c>
      <c r="V20" s="59">
        <v>8881</v>
      </c>
      <c r="W20" s="70">
        <v>5.4039999999999999E-3</v>
      </c>
      <c r="X20" s="59">
        <v>58</v>
      </c>
      <c r="Y20" s="59">
        <v>8895</v>
      </c>
      <c r="Z20" s="70">
        <v>6.5199999999999998E-3</v>
      </c>
      <c r="AA20" s="59">
        <v>45</v>
      </c>
      <c r="AB20" s="59">
        <v>8824</v>
      </c>
      <c r="AC20" s="70">
        <v>5.0990000000000002E-3</v>
      </c>
      <c r="AD20" s="59">
        <v>70</v>
      </c>
      <c r="AE20" s="59">
        <v>8806</v>
      </c>
      <c r="AF20" s="70">
        <v>7.9489999999999995E-3</v>
      </c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48" t="s">
        <v>245</v>
      </c>
    </row>
    <row r="21" spans="2:53" x14ac:dyDescent="0.2">
      <c r="B21" s="71" t="s">
        <v>26</v>
      </c>
      <c r="C21" s="62">
        <v>0</v>
      </c>
      <c r="D21" s="62">
        <v>14490</v>
      </c>
      <c r="E21" s="72">
        <v>0</v>
      </c>
      <c r="F21" s="62">
        <v>0</v>
      </c>
      <c r="G21" s="62">
        <v>15100</v>
      </c>
      <c r="H21" s="72">
        <v>0</v>
      </c>
      <c r="I21" s="62">
        <v>0</v>
      </c>
      <c r="J21" s="62">
        <v>15411</v>
      </c>
      <c r="K21" s="72">
        <v>0</v>
      </c>
      <c r="L21" s="62">
        <v>0</v>
      </c>
      <c r="M21" s="62">
        <v>15845</v>
      </c>
      <c r="N21" s="72">
        <v>0</v>
      </c>
      <c r="O21" s="62">
        <v>32</v>
      </c>
      <c r="P21" s="62">
        <v>16086</v>
      </c>
      <c r="Q21" s="72">
        <v>1.9889999999999999E-3</v>
      </c>
      <c r="R21" s="62">
        <v>78</v>
      </c>
      <c r="S21" s="62">
        <v>16606</v>
      </c>
      <c r="T21" s="72">
        <v>4.6969999999999998E-3</v>
      </c>
      <c r="U21" s="62">
        <v>142</v>
      </c>
      <c r="V21" s="62">
        <v>17006</v>
      </c>
      <c r="W21" s="72">
        <v>8.3490000000000005E-3</v>
      </c>
      <c r="X21" s="62">
        <v>164</v>
      </c>
      <c r="Y21" s="62">
        <v>17336</v>
      </c>
      <c r="Z21" s="72">
        <v>9.4599999999999997E-3</v>
      </c>
      <c r="AA21" s="62">
        <v>156</v>
      </c>
      <c r="AB21" s="62">
        <v>17552</v>
      </c>
      <c r="AC21" s="72">
        <v>8.8870000000000008E-3</v>
      </c>
      <c r="AD21" s="62">
        <v>145</v>
      </c>
      <c r="AE21" s="62">
        <v>17691</v>
      </c>
      <c r="AF21" s="72">
        <v>8.1960000000000002E-3</v>
      </c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49" t="s">
        <v>246</v>
      </c>
    </row>
    <row r="22" spans="2:53" x14ac:dyDescent="0.2">
      <c r="B22" s="20" t="s">
        <v>27</v>
      </c>
      <c r="C22" s="21">
        <f>SUBTOTAL(109,'Enrollment by Program Choice'!$C$8:$C$21)</f>
        <v>1068</v>
      </c>
      <c r="D22" s="21">
        <f>SUBTOTAL(109,'Enrollment by Program Choice'!$D$8:$D$21)</f>
        <v>119513</v>
      </c>
      <c r="E22" s="22">
        <f>'Enrollment by Program Choice'!$C$22/'Enrollment by Program Choice'!$D$22</f>
        <v>8.9362663475939848E-3</v>
      </c>
      <c r="F22" s="21">
        <f>SUBTOTAL(109,'Enrollment by Program Choice'!$F$8:$F$21)</f>
        <v>1037</v>
      </c>
      <c r="G22" s="21">
        <f>SUBTOTAL(109,'Enrollment by Program Choice'!$G$8:$G$21)</f>
        <v>118224</v>
      </c>
      <c r="H22" s="22">
        <f>'Enrollment by Program Choice'!$F$22/'Enrollment by Program Choice'!$G$22</f>
        <v>8.7714846393287318E-3</v>
      </c>
      <c r="I22" s="21">
        <f>SUBTOTAL(109,'Enrollment by Program Choice'!$I$8:$I$21)</f>
        <v>889</v>
      </c>
      <c r="J22" s="21">
        <f>SUBTOTAL(109,'Enrollment by Program Choice'!$J$8:$J$21)</f>
        <v>114688</v>
      </c>
      <c r="K22" s="22">
        <f>'Enrollment by Program Choice'!$I$22/'Enrollment by Program Choice'!$J$22</f>
        <v>7.75146484375E-3</v>
      </c>
      <c r="L22" s="21">
        <f>SUBTOTAL(109,'Enrollment by Program Choice'!$L$8:$L$21)</f>
        <v>872</v>
      </c>
      <c r="M22" s="21">
        <f>SUBTOTAL(109,'Enrollment by Program Choice'!$M$8:$M$21)</f>
        <v>112225</v>
      </c>
      <c r="N22" s="22">
        <f>'Enrollment by Program Choice'!$L$22/'Enrollment by Program Choice'!$M$22</f>
        <v>7.7701047003787037E-3</v>
      </c>
      <c r="O22" s="21">
        <f>SUBTOTAL(109,'Enrollment by Program Choice'!$O$8:$O$21)</f>
        <v>918</v>
      </c>
      <c r="P22" s="21">
        <f>SUBTOTAL(109,'Enrollment by Program Choice'!$P$8:$P$21)</f>
        <v>109808</v>
      </c>
      <c r="Q22" s="22">
        <f>'Enrollment by Program Choice'!$O$22/'Enrollment by Program Choice'!$P$22</f>
        <v>8.3600466268395745E-3</v>
      </c>
      <c r="R22" s="21">
        <f>SUBTOTAL(109,'Enrollment by Program Choice'!$R$8:$R$21)</f>
        <v>907</v>
      </c>
      <c r="S22" s="21">
        <f>SUBTOTAL(109,'Enrollment by Program Choice'!$S$8:$S$21)</f>
        <v>107399</v>
      </c>
      <c r="T22" s="22">
        <f>'Enrollment by Program Choice'!$R$22/'Enrollment by Program Choice'!$S$22</f>
        <v>8.4451438095326774E-3</v>
      </c>
      <c r="U22" s="21">
        <f>SUBTOTAL(109,'Enrollment by Program Choice'!$U$8:$U$21)</f>
        <v>1095</v>
      </c>
      <c r="V22" s="21">
        <f>SUBTOTAL(109,'Enrollment by Program Choice'!$V$8:$V$21)</f>
        <v>105049</v>
      </c>
      <c r="W22" s="22">
        <f>'Enrollment by Program Choice'!$U$22/'Enrollment by Program Choice'!$V$22</f>
        <v>1.0423707031956516E-2</v>
      </c>
      <c r="X22" s="21">
        <f>SUBTOTAL(109,'Enrollment by Program Choice'!$X$8:$X$21)</f>
        <v>1212</v>
      </c>
      <c r="Y22" s="21">
        <f>SUBTOTAL(109,'Enrollment by Program Choice'!$Y$8:$Y$21)</f>
        <v>102572</v>
      </c>
      <c r="Z22" s="22">
        <f>'Enrollment by Program Choice'!$X$22/'Enrollment by Program Choice'!$Y$22</f>
        <v>1.1816090161057599E-2</v>
      </c>
      <c r="AA22" s="21">
        <f>SUBTOTAL(109,'Enrollment by Program Choice'!$AA$8:$AA$21)</f>
        <v>1323</v>
      </c>
      <c r="AB22" s="21">
        <f>SUBTOTAL(109,'Enrollment by Program Choice'!$AB$8:$AB$21)</f>
        <v>98363</v>
      </c>
      <c r="AC22" s="22">
        <f>'Enrollment by Program Choice'!$AA$22/'Enrollment by Program Choice'!$AB$22</f>
        <v>1.3450179437390075E-2</v>
      </c>
      <c r="AD22" s="21">
        <f>SUBTOTAL(109,'Enrollment by Program Choice'!$AD$8:$AD$21)</f>
        <v>979</v>
      </c>
      <c r="AE22" s="21">
        <f>SUBTOTAL(109,'Enrollment by Program Choice'!$AE$8:$AE$21)</f>
        <v>95802</v>
      </c>
      <c r="AF22" s="22">
        <f>'Enrollment by Program Choice'!$AD$22/'Enrollment by Program Choice'!$AE$22</f>
        <v>1.0218993340431306E-2</v>
      </c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48" t="s">
        <v>247</v>
      </c>
    </row>
    <row r="23" spans="2:53" x14ac:dyDescent="0.2"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49" t="s">
        <v>248</v>
      </c>
    </row>
    <row r="24" spans="2:53" x14ac:dyDescent="0.2"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48" t="s">
        <v>249</v>
      </c>
    </row>
    <row r="25" spans="2:53" x14ac:dyDescent="0.2"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50" t="s">
        <v>250</v>
      </c>
    </row>
  </sheetData>
  <mergeCells count="15">
    <mergeCell ref="AA5:AC5"/>
    <mergeCell ref="AD5:AF5"/>
    <mergeCell ref="B2:AF2"/>
    <mergeCell ref="B3:AF3"/>
    <mergeCell ref="B1:AF1"/>
    <mergeCell ref="B4:AF4"/>
    <mergeCell ref="C5:E5"/>
    <mergeCell ref="F5:H5"/>
    <mergeCell ref="I5:K5"/>
    <mergeCell ref="L5:N5"/>
    <mergeCell ref="O5:Q5"/>
    <mergeCell ref="R5:T5"/>
    <mergeCell ref="U5:W5"/>
    <mergeCell ref="X5:Z5"/>
    <mergeCell ref="B5:B6"/>
  </mergeCells>
  <dataValidations count="2">
    <dataValidation type="list" allowBlank="1" showInputMessage="1" showErrorMessage="1" sqref="B3:AF3">
      <formula1>"Total Students,UG Undergraduate Students,GR Graduate Students"</formula1>
    </dataValidation>
    <dataValidation type="list" allowBlank="1" showInputMessage="1" showErrorMessage="1" sqref="B4:AF4">
      <formula1>$BA$8:$BA$25</formula1>
    </dataValidation>
  </dataValidations>
  <printOptions horizontalCentered="1"/>
  <pageMargins left="0.5" right="0.5" top="1" bottom="0.5" header="0.3" footer="0.3"/>
  <pageSetup paperSize="17" scale="54" fitToHeight="0" orientation="landscape" r:id="rId1"/>
  <headerFooter>
    <oddHeader>&amp;L&amp;"Arial,Regular"&amp;10Pennsylvania's State System of Higher Education | &amp;D
Office of Educational Intelligence | Page &amp;P of &amp;N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B1:AF83"/>
  <sheetViews>
    <sheetView zoomScaleNormal="100" workbookViewId="0">
      <selection activeCell="H86" sqref="H86"/>
    </sheetView>
  </sheetViews>
  <sheetFormatPr defaultRowHeight="14.25" x14ac:dyDescent="0.2"/>
  <cols>
    <col min="1" max="1" width="9.140625" style="5"/>
    <col min="2" max="2" width="23.5703125" style="5" customWidth="1"/>
    <col min="3" max="32" width="10.7109375" style="5" customWidth="1"/>
    <col min="33" max="16384" width="9.140625" style="5"/>
  </cols>
  <sheetData>
    <row r="1" spans="2:32" ht="15" x14ac:dyDescent="0.2">
      <c r="B1" s="131" t="s">
        <v>0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</row>
    <row r="2" spans="2:32" ht="15" x14ac:dyDescent="0.2">
      <c r="B2" s="127" t="s">
        <v>270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</row>
    <row r="3" spans="2:32" x14ac:dyDescent="0.2">
      <c r="B3" s="134" t="s">
        <v>1</v>
      </c>
      <c r="C3" s="133" t="str">
        <f>CONCATENATE(IF(RIGHT(Parameters!B1,1) = "1","Fall ", "Spring "),IF(RIGHT(Parameters!B1,1) = "1",LEFT(Parameters!B1,4) -9, LEFT(Parameters!B1,4) - 8))</f>
        <v>Fall 2010</v>
      </c>
      <c r="D3" s="133"/>
      <c r="E3" s="133"/>
      <c r="F3" s="133" t="str">
        <f>CONCATENATE(IF(RIGHT(Parameters!B1,1) = "1","Fall ", "Spring "),IF(RIGHT(Parameters!B1,1) = "1",LEFT(Parameters!B1,4) -8, LEFT(Parameters!B1,4) - 7))</f>
        <v>Fall 2011</v>
      </c>
      <c r="G3" s="133"/>
      <c r="H3" s="133"/>
      <c r="I3" s="133" t="str">
        <f>CONCATENATE(IF(RIGHT(Parameters!B1,1) = "1","Fall ", "Spring "),IF(RIGHT(Parameters!B1,1) = "1",LEFT(Parameters!B1,4) -7, LEFT(Parameters!B1,4) - 6))</f>
        <v>Fall 2012</v>
      </c>
      <c r="J3" s="133"/>
      <c r="K3" s="133"/>
      <c r="L3" s="133" t="str">
        <f>CONCATENATE(IF(RIGHT(Parameters!B1,1) = "1","Fall ", "Spring "),IF(RIGHT(Parameters!B1,1) = "1",LEFT(Parameters!B1,4) -6, LEFT(Parameters!B1,4) - 5))</f>
        <v>Fall 2013</v>
      </c>
      <c r="M3" s="133"/>
      <c r="N3" s="133"/>
      <c r="O3" s="133" t="str">
        <f>CONCATENATE(IF(RIGHT(Parameters!B1,1) = "1","Fall ", "Spring "),IF(RIGHT(Parameters!B1,1) = "1",LEFT(Parameters!B1,4) -5, LEFT(Parameters!B1,4) - 4))</f>
        <v>Fall 2014</v>
      </c>
      <c r="P3" s="133"/>
      <c r="Q3" s="133"/>
      <c r="R3" s="133" t="str">
        <f>CONCATENATE(IF(RIGHT(Parameters!B1,1) = "1","Fall ", "Spring "),IF(RIGHT(Parameters!B1,1) = "1",LEFT(Parameters!B1,4) -4, LEFT(Parameters!B1,4) - 3))</f>
        <v>Fall 2015</v>
      </c>
      <c r="S3" s="133"/>
      <c r="T3" s="133"/>
      <c r="U3" s="133" t="str">
        <f>CONCATENATE(IF(RIGHT(Parameters!B1,1) = "1","Fall ", "Spring "),IF(RIGHT(Parameters!B1,1) = "1",LEFT(Parameters!B1,4) -3, LEFT(Parameters!B1,4) -2 ))</f>
        <v>Fall 2016</v>
      </c>
      <c r="V3" s="133"/>
      <c r="W3" s="133"/>
      <c r="X3" s="133" t="str">
        <f>CONCATENATE(IF(RIGHT(Parameters!B1,1) = "1","Fall ", "Spring "),IF(RIGHT(Parameters!B1,1) = "1",LEFT(Parameters!B1,4) -2, LEFT(Parameters!B1,4) -1 ))</f>
        <v>Fall 2017</v>
      </c>
      <c r="Y3" s="133"/>
      <c r="Z3" s="133"/>
      <c r="AA3" s="133" t="str">
        <f>CONCATENATE(IF(RIGHT(Parameters!B1,1) = "1","Fall ", "Spring "),IF(RIGHT(Parameters!B1,1) = "1",LEFT(Parameters!B1,4) -1, LEFT(Parameters!B1,4)  ))</f>
        <v>Fall 2018</v>
      </c>
      <c r="AB3" s="133"/>
      <c r="AC3" s="133"/>
      <c r="AD3" s="133" t="str">
        <f>CONCATENATE(IF(RIGHT(Parameters!B1,1) = "1","Fall ", "Spring "),IF(RIGHT(Parameters!B1,1) = "1",LEFT(Parameters!B1,4), LEFT(Parameters!B1,4) + 1))</f>
        <v>Fall 2019</v>
      </c>
      <c r="AE3" s="133"/>
      <c r="AF3" s="133"/>
    </row>
    <row r="4" spans="2:32" ht="42.75" x14ac:dyDescent="0.2">
      <c r="B4" s="135"/>
      <c r="C4" s="54" t="s">
        <v>271</v>
      </c>
      <c r="D4" s="54" t="s">
        <v>272</v>
      </c>
      <c r="E4" s="54" t="s">
        <v>273</v>
      </c>
      <c r="F4" s="54" t="s">
        <v>271</v>
      </c>
      <c r="G4" s="54" t="s">
        <v>272</v>
      </c>
      <c r="H4" s="54" t="s">
        <v>273</v>
      </c>
      <c r="I4" s="54" t="s">
        <v>271</v>
      </c>
      <c r="J4" s="54" t="s">
        <v>272</v>
      </c>
      <c r="K4" s="54" t="s">
        <v>273</v>
      </c>
      <c r="L4" s="54" t="s">
        <v>271</v>
      </c>
      <c r="M4" s="54" t="s">
        <v>272</v>
      </c>
      <c r="N4" s="54" t="s">
        <v>273</v>
      </c>
      <c r="O4" s="54" t="s">
        <v>271</v>
      </c>
      <c r="P4" s="54" t="s">
        <v>272</v>
      </c>
      <c r="Q4" s="54" t="s">
        <v>273</v>
      </c>
      <c r="R4" s="54" t="s">
        <v>271</v>
      </c>
      <c r="S4" s="54" t="s">
        <v>272</v>
      </c>
      <c r="T4" s="54" t="s">
        <v>273</v>
      </c>
      <c r="U4" s="54" t="s">
        <v>271</v>
      </c>
      <c r="V4" s="54" t="s">
        <v>272</v>
      </c>
      <c r="W4" s="54" t="s">
        <v>273</v>
      </c>
      <c r="X4" s="54" t="s">
        <v>271</v>
      </c>
      <c r="Y4" s="54" t="s">
        <v>272</v>
      </c>
      <c r="Z4" s="54" t="s">
        <v>273</v>
      </c>
      <c r="AA4" s="54" t="s">
        <v>271</v>
      </c>
      <c r="AB4" s="54" t="s">
        <v>272</v>
      </c>
      <c r="AC4" s="54" t="s">
        <v>273</v>
      </c>
      <c r="AD4" s="54" t="s">
        <v>271</v>
      </c>
      <c r="AE4" s="54" t="s">
        <v>272</v>
      </c>
      <c r="AF4" s="54" t="s">
        <v>273</v>
      </c>
    </row>
    <row r="5" spans="2:32" ht="17.25" hidden="1" customHeight="1" thickBot="1" x14ac:dyDescent="0.25">
      <c r="B5" s="26" t="s">
        <v>2</v>
      </c>
      <c r="C5" s="26" t="s">
        <v>84</v>
      </c>
      <c r="D5" s="26" t="s">
        <v>85</v>
      </c>
      <c r="E5" s="26" t="s">
        <v>86</v>
      </c>
      <c r="F5" s="26" t="s">
        <v>87</v>
      </c>
      <c r="G5" s="26" t="s">
        <v>88</v>
      </c>
      <c r="H5" s="26" t="s">
        <v>89</v>
      </c>
      <c r="I5" s="26" t="s">
        <v>90</v>
      </c>
      <c r="J5" s="26" t="s">
        <v>91</v>
      </c>
      <c r="K5" s="26" t="s">
        <v>92</v>
      </c>
      <c r="L5" s="26" t="s">
        <v>93</v>
      </c>
      <c r="M5" s="26" t="s">
        <v>94</v>
      </c>
      <c r="N5" s="26" t="s">
        <v>95</v>
      </c>
      <c r="O5" s="26" t="s">
        <v>96</v>
      </c>
      <c r="P5" s="26" t="s">
        <v>97</v>
      </c>
      <c r="Q5" s="26" t="s">
        <v>98</v>
      </c>
      <c r="R5" s="26" t="s">
        <v>99</v>
      </c>
      <c r="S5" s="26" t="s">
        <v>100</v>
      </c>
      <c r="T5" s="26" t="s">
        <v>101</v>
      </c>
      <c r="U5" s="26" t="s">
        <v>102</v>
      </c>
      <c r="V5" s="26" t="s">
        <v>103</v>
      </c>
      <c r="W5" s="26" t="s">
        <v>104</v>
      </c>
      <c r="X5" s="26" t="s">
        <v>105</v>
      </c>
      <c r="Y5" s="26" t="s">
        <v>106</v>
      </c>
      <c r="Z5" s="26" t="s">
        <v>107</v>
      </c>
      <c r="AA5" s="26" t="s">
        <v>108</v>
      </c>
      <c r="AB5" s="26" t="s">
        <v>109</v>
      </c>
      <c r="AC5" s="26" t="s">
        <v>110</v>
      </c>
      <c r="AD5" s="26" t="s">
        <v>111</v>
      </c>
      <c r="AE5" s="26" t="s">
        <v>112</v>
      </c>
      <c r="AF5" s="26" t="s">
        <v>113</v>
      </c>
    </row>
    <row r="6" spans="2:32" x14ac:dyDescent="0.2">
      <c r="B6" s="67" t="s">
        <v>13</v>
      </c>
      <c r="C6" s="57">
        <v>3878</v>
      </c>
      <c r="D6" s="57">
        <v>6213</v>
      </c>
      <c r="E6" s="68">
        <v>0.38430199999999998</v>
      </c>
      <c r="F6" s="57">
        <v>3728</v>
      </c>
      <c r="G6" s="57">
        <v>6431</v>
      </c>
      <c r="H6" s="68">
        <v>0.36696499999999999</v>
      </c>
      <c r="I6" s="57">
        <v>3601</v>
      </c>
      <c r="J6" s="57">
        <v>6349</v>
      </c>
      <c r="K6" s="68">
        <v>0.36190899999999998</v>
      </c>
      <c r="L6" s="57">
        <v>3838</v>
      </c>
      <c r="M6" s="57">
        <v>6289</v>
      </c>
      <c r="N6" s="68">
        <v>0.37898599999999999</v>
      </c>
      <c r="O6" s="57">
        <v>3778</v>
      </c>
      <c r="P6" s="57">
        <v>6220</v>
      </c>
      <c r="Q6" s="68">
        <v>0.37787500000000002</v>
      </c>
      <c r="R6" s="57">
        <v>3744</v>
      </c>
      <c r="S6" s="57">
        <v>6033</v>
      </c>
      <c r="T6" s="68">
        <v>0.38293899999999997</v>
      </c>
      <c r="U6" s="57">
        <v>3419</v>
      </c>
      <c r="V6" s="57">
        <v>6239</v>
      </c>
      <c r="W6" s="68">
        <v>0.35400700000000002</v>
      </c>
      <c r="X6" s="57">
        <v>3154</v>
      </c>
      <c r="Y6" s="57">
        <v>6133</v>
      </c>
      <c r="Z6" s="68">
        <v>0.33961400000000003</v>
      </c>
      <c r="AA6" s="57">
        <v>2996</v>
      </c>
      <c r="AB6" s="57">
        <v>5928</v>
      </c>
      <c r="AC6" s="68">
        <v>0.33572299999999999</v>
      </c>
      <c r="AD6" s="57">
        <v>2981</v>
      </c>
      <c r="AE6" s="57">
        <v>5708</v>
      </c>
      <c r="AF6" s="68">
        <v>0.34307700000000002</v>
      </c>
    </row>
    <row r="7" spans="2:32" x14ac:dyDescent="0.2">
      <c r="B7" s="69" t="s">
        <v>14</v>
      </c>
      <c r="C7" s="59">
        <v>1482</v>
      </c>
      <c r="D7" s="59">
        <v>7918</v>
      </c>
      <c r="E7" s="70">
        <v>0.15765899999999999</v>
      </c>
      <c r="F7" s="59">
        <v>1496</v>
      </c>
      <c r="G7" s="59">
        <v>7987</v>
      </c>
      <c r="H7" s="70">
        <v>0.15775500000000001</v>
      </c>
      <c r="I7" s="59">
        <v>1336</v>
      </c>
      <c r="J7" s="59">
        <v>7272</v>
      </c>
      <c r="K7" s="70">
        <v>0.15520400000000001</v>
      </c>
      <c r="L7" s="59">
        <v>1466</v>
      </c>
      <c r="M7" s="59">
        <v>6777</v>
      </c>
      <c r="N7" s="70">
        <v>0.17784700000000001</v>
      </c>
      <c r="O7" s="59">
        <v>1459</v>
      </c>
      <c r="P7" s="59">
        <v>6519</v>
      </c>
      <c r="Q7" s="70">
        <v>0.18287700000000001</v>
      </c>
      <c r="R7" s="59">
        <v>1295</v>
      </c>
      <c r="S7" s="59">
        <v>6559</v>
      </c>
      <c r="T7" s="70">
        <v>0.164884</v>
      </c>
      <c r="U7" s="59">
        <v>1198</v>
      </c>
      <c r="V7" s="59">
        <v>6355</v>
      </c>
      <c r="W7" s="70">
        <v>0.158612</v>
      </c>
      <c r="X7" s="59">
        <v>1183</v>
      </c>
      <c r="Y7" s="59">
        <v>6605</v>
      </c>
      <c r="Z7" s="70">
        <v>0.15190000000000001</v>
      </c>
      <c r="AA7" s="59">
        <v>1186</v>
      </c>
      <c r="AB7" s="59">
        <v>6126</v>
      </c>
      <c r="AC7" s="70">
        <v>0.16219900000000001</v>
      </c>
      <c r="AD7" s="59">
        <v>1186</v>
      </c>
      <c r="AE7" s="59">
        <v>5656</v>
      </c>
      <c r="AF7" s="70">
        <v>0.173341</v>
      </c>
    </row>
    <row r="8" spans="2:32" x14ac:dyDescent="0.2">
      <c r="B8" s="69" t="s">
        <v>15</v>
      </c>
      <c r="C8" s="59">
        <v>1103</v>
      </c>
      <c r="D8" s="59">
        <v>483</v>
      </c>
      <c r="E8" s="70">
        <v>0.69545999999999997</v>
      </c>
      <c r="F8" s="59">
        <v>828</v>
      </c>
      <c r="G8" s="59">
        <v>372</v>
      </c>
      <c r="H8" s="70">
        <v>0.68999900000000003</v>
      </c>
      <c r="I8" s="59">
        <v>711</v>
      </c>
      <c r="J8" s="59">
        <v>573</v>
      </c>
      <c r="K8" s="70">
        <v>0.55373799999999995</v>
      </c>
      <c r="L8" s="59">
        <v>863</v>
      </c>
      <c r="M8" s="59">
        <v>349</v>
      </c>
      <c r="N8" s="70">
        <v>0.71204599999999996</v>
      </c>
      <c r="O8" s="59">
        <v>794</v>
      </c>
      <c r="P8" s="59">
        <v>228</v>
      </c>
      <c r="Q8" s="70">
        <v>0.77690800000000004</v>
      </c>
      <c r="R8" s="59">
        <v>468</v>
      </c>
      <c r="S8" s="59">
        <v>243</v>
      </c>
      <c r="T8" s="70">
        <v>0.65822700000000001</v>
      </c>
      <c r="U8" s="59">
        <v>524</v>
      </c>
      <c r="V8" s="59">
        <v>222</v>
      </c>
      <c r="W8" s="70">
        <v>0.70241200000000004</v>
      </c>
      <c r="X8" s="59">
        <v>415</v>
      </c>
      <c r="Y8" s="59">
        <v>340</v>
      </c>
      <c r="Z8" s="70">
        <v>0.54966800000000005</v>
      </c>
      <c r="AA8" s="59">
        <v>266</v>
      </c>
      <c r="AB8" s="59">
        <v>203</v>
      </c>
      <c r="AC8" s="70">
        <v>0.567164</v>
      </c>
      <c r="AD8" s="59">
        <v>481</v>
      </c>
      <c r="AE8" s="59">
        <v>137</v>
      </c>
      <c r="AF8" s="70">
        <v>0.77831700000000004</v>
      </c>
    </row>
    <row r="9" spans="2:32" x14ac:dyDescent="0.2">
      <c r="B9" s="69" t="s">
        <v>16</v>
      </c>
      <c r="C9" s="59">
        <v>1423</v>
      </c>
      <c r="D9" s="59">
        <v>5892</v>
      </c>
      <c r="E9" s="70">
        <v>0.19453100000000001</v>
      </c>
      <c r="F9" s="59">
        <v>1299</v>
      </c>
      <c r="G9" s="59">
        <v>5692</v>
      </c>
      <c r="H9" s="70">
        <v>0.18581</v>
      </c>
      <c r="I9" s="59">
        <v>1049</v>
      </c>
      <c r="J9" s="59">
        <v>5471</v>
      </c>
      <c r="K9" s="70">
        <v>0.160889</v>
      </c>
      <c r="L9" s="59">
        <v>1150</v>
      </c>
      <c r="M9" s="59">
        <v>4930</v>
      </c>
      <c r="N9" s="70">
        <v>0.18914400000000001</v>
      </c>
      <c r="O9" s="59">
        <v>1999</v>
      </c>
      <c r="P9" s="59">
        <v>3713</v>
      </c>
      <c r="Q9" s="70">
        <v>0.349964</v>
      </c>
      <c r="R9" s="59">
        <v>1618</v>
      </c>
      <c r="S9" s="59">
        <v>3750</v>
      </c>
      <c r="T9" s="70">
        <v>0.30141499999999999</v>
      </c>
      <c r="U9" s="59">
        <v>1605</v>
      </c>
      <c r="V9" s="59">
        <v>3619</v>
      </c>
      <c r="W9" s="70">
        <v>0.30723499999999998</v>
      </c>
      <c r="X9" s="59">
        <v>1838</v>
      </c>
      <c r="Y9" s="59">
        <v>3387</v>
      </c>
      <c r="Z9" s="70">
        <v>0.35177000000000003</v>
      </c>
      <c r="AA9" s="59">
        <v>1369</v>
      </c>
      <c r="AB9" s="59">
        <v>3500</v>
      </c>
      <c r="AC9" s="70">
        <v>0.28116600000000003</v>
      </c>
      <c r="AD9" s="59">
        <v>1392</v>
      </c>
      <c r="AE9" s="59">
        <v>3311</v>
      </c>
      <c r="AF9" s="70">
        <v>0.29598099999999999</v>
      </c>
    </row>
    <row r="10" spans="2:32" x14ac:dyDescent="0.2">
      <c r="B10" s="69" t="s">
        <v>17</v>
      </c>
      <c r="C10" s="59">
        <v>2622</v>
      </c>
      <c r="D10" s="59">
        <v>4765</v>
      </c>
      <c r="E10" s="70">
        <v>0.35494700000000001</v>
      </c>
      <c r="F10" s="59">
        <v>2842</v>
      </c>
      <c r="G10" s="59">
        <v>4511</v>
      </c>
      <c r="H10" s="70">
        <v>0.38650800000000002</v>
      </c>
      <c r="I10" s="59">
        <v>2814</v>
      </c>
      <c r="J10" s="59">
        <v>4129</v>
      </c>
      <c r="K10" s="70">
        <v>0.40529999999999999</v>
      </c>
      <c r="L10" s="59">
        <v>2732</v>
      </c>
      <c r="M10" s="59">
        <v>4046</v>
      </c>
      <c r="N10" s="70">
        <v>0.40306799999999998</v>
      </c>
      <c r="O10" s="59">
        <v>2734</v>
      </c>
      <c r="P10" s="59">
        <v>4086</v>
      </c>
      <c r="Q10" s="70">
        <v>0.40087899999999999</v>
      </c>
      <c r="R10" s="59">
        <v>2838</v>
      </c>
      <c r="S10" s="59">
        <v>3990</v>
      </c>
      <c r="T10" s="70">
        <v>0.41564099999999998</v>
      </c>
      <c r="U10" s="59">
        <v>0</v>
      </c>
      <c r="V10" s="59">
        <v>6830</v>
      </c>
      <c r="W10" s="70">
        <v>0</v>
      </c>
      <c r="X10" s="59">
        <v>2825</v>
      </c>
      <c r="Y10" s="59">
        <v>3917</v>
      </c>
      <c r="Z10" s="70">
        <v>0.41901500000000003</v>
      </c>
      <c r="AA10" s="59">
        <v>2661</v>
      </c>
      <c r="AB10" s="59">
        <v>3764</v>
      </c>
      <c r="AC10" s="70">
        <v>0.414163</v>
      </c>
      <c r="AD10" s="59">
        <v>2416</v>
      </c>
      <c r="AE10" s="59">
        <v>3798</v>
      </c>
      <c r="AF10" s="70">
        <v>0.38879900000000001</v>
      </c>
    </row>
    <row r="11" spans="2:32" x14ac:dyDescent="0.2">
      <c r="B11" s="69" t="s">
        <v>18</v>
      </c>
      <c r="C11" s="59">
        <v>2083</v>
      </c>
      <c r="D11" s="59">
        <v>6559</v>
      </c>
      <c r="E11" s="70">
        <v>0.241032</v>
      </c>
      <c r="F11" s="59">
        <v>2110</v>
      </c>
      <c r="G11" s="59">
        <v>6152</v>
      </c>
      <c r="H11" s="70">
        <v>0.255386</v>
      </c>
      <c r="I11" s="59">
        <v>2297</v>
      </c>
      <c r="J11" s="59">
        <v>5165</v>
      </c>
      <c r="K11" s="70">
        <v>0.30782599999999999</v>
      </c>
      <c r="L11" s="59">
        <v>2163</v>
      </c>
      <c r="M11" s="59">
        <v>4935</v>
      </c>
      <c r="N11" s="70">
        <v>0.30473299999999998</v>
      </c>
      <c r="O11" s="59">
        <v>2082</v>
      </c>
      <c r="P11" s="59">
        <v>4755</v>
      </c>
      <c r="Q11" s="70">
        <v>0.30451899999999998</v>
      </c>
      <c r="R11" s="59">
        <v>2008</v>
      </c>
      <c r="S11" s="59">
        <v>4542</v>
      </c>
      <c r="T11" s="70">
        <v>0.306564</v>
      </c>
      <c r="U11" s="59">
        <v>1803</v>
      </c>
      <c r="V11" s="59">
        <v>4378</v>
      </c>
      <c r="W11" s="70">
        <v>0.29170000000000001</v>
      </c>
      <c r="X11" s="59">
        <v>1428</v>
      </c>
      <c r="Y11" s="59">
        <v>4147</v>
      </c>
      <c r="Z11" s="70">
        <v>0.25614300000000001</v>
      </c>
      <c r="AA11" s="59">
        <v>1066</v>
      </c>
      <c r="AB11" s="59">
        <v>3768</v>
      </c>
      <c r="AC11" s="70">
        <v>0.22052099999999999</v>
      </c>
      <c r="AD11" s="59">
        <v>1021</v>
      </c>
      <c r="AE11" s="59">
        <v>3625</v>
      </c>
      <c r="AF11" s="70">
        <v>0.21975800000000001</v>
      </c>
    </row>
    <row r="12" spans="2:32" x14ac:dyDescent="0.2">
      <c r="B12" s="69" t="s">
        <v>19</v>
      </c>
      <c r="C12" s="59">
        <v>4366</v>
      </c>
      <c r="D12" s="59">
        <v>10760</v>
      </c>
      <c r="E12" s="70">
        <v>0.28864200000000001</v>
      </c>
      <c r="F12" s="59">
        <v>4461</v>
      </c>
      <c r="G12" s="59">
        <v>10671</v>
      </c>
      <c r="H12" s="70">
        <v>0.29480499999999998</v>
      </c>
      <c r="I12" s="59">
        <v>4472</v>
      </c>
      <c r="J12" s="59">
        <v>11124</v>
      </c>
      <c r="K12" s="70">
        <v>0.28673999999999999</v>
      </c>
      <c r="L12" s="59">
        <v>3989</v>
      </c>
      <c r="M12" s="59">
        <v>10936</v>
      </c>
      <c r="N12" s="70">
        <v>0.26726899999999998</v>
      </c>
      <c r="O12" s="59">
        <v>3895</v>
      </c>
      <c r="P12" s="59">
        <v>10676</v>
      </c>
      <c r="Q12" s="70">
        <v>0.26731100000000002</v>
      </c>
      <c r="R12" s="59">
        <v>3861</v>
      </c>
      <c r="S12" s="59">
        <v>10174</v>
      </c>
      <c r="T12" s="70">
        <v>0.27509699999999998</v>
      </c>
      <c r="U12" s="59">
        <v>3418</v>
      </c>
      <c r="V12" s="59">
        <v>9696</v>
      </c>
      <c r="W12" s="70">
        <v>0.26063700000000001</v>
      </c>
      <c r="X12" s="59">
        <v>3288</v>
      </c>
      <c r="Y12" s="59">
        <v>9274</v>
      </c>
      <c r="Z12" s="70">
        <v>0.261741</v>
      </c>
      <c r="AA12" s="59">
        <v>2842</v>
      </c>
      <c r="AB12" s="59">
        <v>8739</v>
      </c>
      <c r="AC12" s="70">
        <v>0.24540100000000001</v>
      </c>
      <c r="AD12" s="59">
        <v>2678</v>
      </c>
      <c r="AE12" s="59">
        <v>7958</v>
      </c>
      <c r="AF12" s="70">
        <v>0.25178600000000001</v>
      </c>
    </row>
    <row r="13" spans="2:32" x14ac:dyDescent="0.2">
      <c r="B13" s="69" t="s">
        <v>20</v>
      </c>
      <c r="C13" s="59">
        <v>3181</v>
      </c>
      <c r="D13" s="59">
        <v>7526</v>
      </c>
      <c r="E13" s="70">
        <v>0.297095</v>
      </c>
      <c r="F13" s="59">
        <v>3186</v>
      </c>
      <c r="G13" s="59">
        <v>7097</v>
      </c>
      <c r="H13" s="70">
        <v>0.30983100000000002</v>
      </c>
      <c r="I13" s="59">
        <v>2972</v>
      </c>
      <c r="J13" s="59">
        <v>6832</v>
      </c>
      <c r="K13" s="70">
        <v>0.30314099999999999</v>
      </c>
      <c r="L13" s="59">
        <v>2730</v>
      </c>
      <c r="M13" s="59">
        <v>6783</v>
      </c>
      <c r="N13" s="70">
        <v>0.28697499999999998</v>
      </c>
      <c r="O13" s="59">
        <v>2538</v>
      </c>
      <c r="P13" s="59">
        <v>6680</v>
      </c>
      <c r="Q13" s="70">
        <v>0.27533000000000002</v>
      </c>
      <c r="R13" s="59">
        <v>2715</v>
      </c>
      <c r="S13" s="59">
        <v>6285</v>
      </c>
      <c r="T13" s="70">
        <v>0.30166599999999999</v>
      </c>
      <c r="U13" s="59">
        <v>2505</v>
      </c>
      <c r="V13" s="59">
        <v>6008</v>
      </c>
      <c r="W13" s="70">
        <v>0.29425499999999999</v>
      </c>
      <c r="X13" s="59">
        <v>2407</v>
      </c>
      <c r="Y13" s="59">
        <v>5922</v>
      </c>
      <c r="Z13" s="70">
        <v>0.28899000000000002</v>
      </c>
      <c r="AA13" s="59">
        <v>2574</v>
      </c>
      <c r="AB13" s="59">
        <v>5735</v>
      </c>
      <c r="AC13" s="70">
        <v>0.309784</v>
      </c>
      <c r="AD13" s="59">
        <v>2338</v>
      </c>
      <c r="AE13" s="59">
        <v>5861</v>
      </c>
      <c r="AF13" s="70">
        <v>0.28515600000000002</v>
      </c>
    </row>
    <row r="14" spans="2:32" x14ac:dyDescent="0.2">
      <c r="B14" s="69" t="s">
        <v>21</v>
      </c>
      <c r="C14" s="59">
        <v>1553</v>
      </c>
      <c r="D14" s="59">
        <v>3898</v>
      </c>
      <c r="E14" s="70">
        <v>0.28490100000000002</v>
      </c>
      <c r="F14" s="59">
        <v>1577</v>
      </c>
      <c r="G14" s="59">
        <v>3789</v>
      </c>
      <c r="H14" s="70">
        <v>0.29388700000000001</v>
      </c>
      <c r="I14" s="59">
        <v>1124</v>
      </c>
      <c r="J14" s="59">
        <v>4204</v>
      </c>
      <c r="K14" s="70">
        <v>0.21096000000000001</v>
      </c>
      <c r="L14" s="59">
        <v>988</v>
      </c>
      <c r="M14" s="59">
        <v>4272</v>
      </c>
      <c r="N14" s="70">
        <v>0.187832</v>
      </c>
      <c r="O14" s="59">
        <v>781</v>
      </c>
      <c r="P14" s="59">
        <v>4136</v>
      </c>
      <c r="Q14" s="70">
        <v>0.158836</v>
      </c>
      <c r="R14" s="59">
        <v>603</v>
      </c>
      <c r="S14" s="59">
        <v>4004</v>
      </c>
      <c r="T14" s="70">
        <v>0.130887</v>
      </c>
      <c r="U14" s="59">
        <v>474</v>
      </c>
      <c r="V14" s="59">
        <v>3746</v>
      </c>
      <c r="W14" s="70">
        <v>0.11232200000000001</v>
      </c>
      <c r="X14" s="59">
        <v>394</v>
      </c>
      <c r="Y14" s="59">
        <v>3433</v>
      </c>
      <c r="Z14" s="70">
        <v>0.102952</v>
      </c>
      <c r="AA14" s="59">
        <v>247</v>
      </c>
      <c r="AB14" s="59">
        <v>3178</v>
      </c>
      <c r="AC14" s="70">
        <v>7.2116E-2</v>
      </c>
      <c r="AD14" s="59">
        <v>252</v>
      </c>
      <c r="AE14" s="59">
        <v>2910</v>
      </c>
      <c r="AF14" s="70">
        <v>7.9696000000000003E-2</v>
      </c>
    </row>
    <row r="15" spans="2:32" x14ac:dyDescent="0.2">
      <c r="B15" s="69" t="s">
        <v>22</v>
      </c>
      <c r="C15" s="59">
        <v>1457</v>
      </c>
      <c r="D15" s="59">
        <v>1954</v>
      </c>
      <c r="E15" s="70">
        <v>0.427147</v>
      </c>
      <c r="F15" s="59">
        <v>1462</v>
      </c>
      <c r="G15" s="59">
        <v>1813</v>
      </c>
      <c r="H15" s="70">
        <v>0.44641199999999998</v>
      </c>
      <c r="I15" s="59">
        <v>1435</v>
      </c>
      <c r="J15" s="59">
        <v>1696</v>
      </c>
      <c r="K15" s="70">
        <v>0.45832000000000001</v>
      </c>
      <c r="L15" s="59">
        <v>1363</v>
      </c>
      <c r="M15" s="59">
        <v>1607</v>
      </c>
      <c r="N15" s="70">
        <v>0.458922</v>
      </c>
      <c r="O15" s="59">
        <v>1312</v>
      </c>
      <c r="P15" s="59">
        <v>1440</v>
      </c>
      <c r="Q15" s="70">
        <v>0.476744</v>
      </c>
      <c r="R15" s="59">
        <v>1126</v>
      </c>
      <c r="S15" s="59">
        <v>1263</v>
      </c>
      <c r="T15" s="70">
        <v>0.47132600000000002</v>
      </c>
      <c r="U15" s="59">
        <v>1011</v>
      </c>
      <c r="V15" s="59">
        <v>1196</v>
      </c>
      <c r="W15" s="70">
        <v>0.45808700000000002</v>
      </c>
      <c r="X15" s="59">
        <v>907</v>
      </c>
      <c r="Y15" s="59">
        <v>1015</v>
      </c>
      <c r="Z15" s="70">
        <v>0.47190399999999999</v>
      </c>
      <c r="AA15" s="59">
        <v>827</v>
      </c>
      <c r="AB15" s="59">
        <v>823</v>
      </c>
      <c r="AC15" s="70">
        <v>0.50121199999999999</v>
      </c>
      <c r="AD15" s="59">
        <v>893</v>
      </c>
      <c r="AE15" s="59">
        <v>790</v>
      </c>
      <c r="AF15" s="70">
        <v>0.53059999999999996</v>
      </c>
    </row>
    <row r="16" spans="2:32" x14ac:dyDescent="0.2">
      <c r="B16" s="69" t="s">
        <v>23</v>
      </c>
      <c r="C16" s="59">
        <v>2203</v>
      </c>
      <c r="D16" s="59">
        <v>6526</v>
      </c>
      <c r="E16" s="70">
        <v>0.25237700000000002</v>
      </c>
      <c r="F16" s="59">
        <v>2239</v>
      </c>
      <c r="G16" s="59">
        <v>6486</v>
      </c>
      <c r="H16" s="70">
        <v>0.25661800000000001</v>
      </c>
      <c r="I16" s="59">
        <v>2217</v>
      </c>
      <c r="J16" s="59">
        <v>6151</v>
      </c>
      <c r="K16" s="70">
        <v>0.26493699999999998</v>
      </c>
      <c r="L16" s="59">
        <v>2435</v>
      </c>
      <c r="M16" s="59">
        <v>5844</v>
      </c>
      <c r="N16" s="70">
        <v>0.29411700000000002</v>
      </c>
      <c r="O16" s="59">
        <v>2359</v>
      </c>
      <c r="P16" s="59">
        <v>5688</v>
      </c>
      <c r="Q16" s="70">
        <v>0.29315200000000002</v>
      </c>
      <c r="R16" s="59">
        <v>2277</v>
      </c>
      <c r="S16" s="59">
        <v>5711</v>
      </c>
      <c r="T16" s="70">
        <v>0.28505200000000003</v>
      </c>
      <c r="U16" s="59">
        <v>2204</v>
      </c>
      <c r="V16" s="59">
        <v>5723</v>
      </c>
      <c r="W16" s="70">
        <v>0.27803699999999998</v>
      </c>
      <c r="X16" s="59">
        <v>2131</v>
      </c>
      <c r="Y16" s="59">
        <v>5617</v>
      </c>
      <c r="Z16" s="70">
        <v>0.275038</v>
      </c>
      <c r="AA16" s="59">
        <v>2148</v>
      </c>
      <c r="AB16" s="59">
        <v>5633</v>
      </c>
      <c r="AC16" s="70">
        <v>0.276057</v>
      </c>
      <c r="AD16" s="59">
        <v>2165</v>
      </c>
      <c r="AE16" s="59">
        <v>5652</v>
      </c>
      <c r="AF16" s="70">
        <v>0.27695999999999998</v>
      </c>
    </row>
    <row r="17" spans="2:32" x14ac:dyDescent="0.2">
      <c r="B17" s="69" t="s">
        <v>24</v>
      </c>
      <c r="C17" s="59">
        <v>2376</v>
      </c>
      <c r="D17" s="59">
        <v>5950</v>
      </c>
      <c r="E17" s="70">
        <v>0.28537099999999999</v>
      </c>
      <c r="F17" s="59">
        <v>2367</v>
      </c>
      <c r="G17" s="59">
        <v>5816</v>
      </c>
      <c r="H17" s="70">
        <v>0.28925800000000002</v>
      </c>
      <c r="I17" s="59">
        <v>1980</v>
      </c>
      <c r="J17" s="59">
        <v>5744</v>
      </c>
      <c r="K17" s="70">
        <v>0.25634299999999999</v>
      </c>
      <c r="L17" s="59">
        <v>2145</v>
      </c>
      <c r="M17" s="59">
        <v>5403</v>
      </c>
      <c r="N17" s="70">
        <v>0.28418100000000002</v>
      </c>
      <c r="O17" s="59">
        <v>35</v>
      </c>
      <c r="P17" s="59">
        <v>7320</v>
      </c>
      <c r="Q17" s="70">
        <v>4.7580000000000001E-3</v>
      </c>
      <c r="R17" s="59">
        <v>1932</v>
      </c>
      <c r="S17" s="59">
        <v>5126</v>
      </c>
      <c r="T17" s="70">
        <v>0.273731</v>
      </c>
      <c r="U17" s="59">
        <v>1921</v>
      </c>
      <c r="V17" s="59">
        <v>5068</v>
      </c>
      <c r="W17" s="70">
        <v>0.27485999999999999</v>
      </c>
      <c r="X17" s="59">
        <v>1678</v>
      </c>
      <c r="Y17" s="59">
        <v>4903</v>
      </c>
      <c r="Z17" s="70">
        <v>0.25497599999999998</v>
      </c>
      <c r="AA17" s="59">
        <v>1783</v>
      </c>
      <c r="AB17" s="59">
        <v>4625</v>
      </c>
      <c r="AC17" s="70">
        <v>0.27824500000000002</v>
      </c>
      <c r="AD17" s="59">
        <v>1793</v>
      </c>
      <c r="AE17" s="59">
        <v>4303</v>
      </c>
      <c r="AF17" s="70">
        <v>0.29412700000000003</v>
      </c>
    </row>
    <row r="18" spans="2:32" x14ac:dyDescent="0.2">
      <c r="B18" s="69" t="s">
        <v>25</v>
      </c>
      <c r="C18" s="59">
        <v>2833</v>
      </c>
      <c r="D18" s="59">
        <v>6019</v>
      </c>
      <c r="E18" s="70">
        <v>0.32003999999999999</v>
      </c>
      <c r="F18" s="59">
        <v>2852</v>
      </c>
      <c r="G18" s="59">
        <v>5860</v>
      </c>
      <c r="H18" s="70">
        <v>0.32736399999999999</v>
      </c>
      <c r="I18" s="59">
        <v>2850</v>
      </c>
      <c r="J18" s="59">
        <v>5709</v>
      </c>
      <c r="K18" s="70">
        <v>0.332982</v>
      </c>
      <c r="L18" s="59">
        <v>2723</v>
      </c>
      <c r="M18" s="59">
        <v>5624</v>
      </c>
      <c r="N18" s="70">
        <v>0.32622400000000001</v>
      </c>
      <c r="O18" s="59">
        <v>2835</v>
      </c>
      <c r="P18" s="59">
        <v>5660</v>
      </c>
      <c r="Q18" s="70">
        <v>0.33372499999999999</v>
      </c>
      <c r="R18" s="59">
        <v>2822</v>
      </c>
      <c r="S18" s="59">
        <v>5806</v>
      </c>
      <c r="T18" s="70">
        <v>0.32707399999999998</v>
      </c>
      <c r="U18" s="59">
        <v>2762</v>
      </c>
      <c r="V18" s="59">
        <v>6119</v>
      </c>
      <c r="W18" s="70">
        <v>0.31100100000000003</v>
      </c>
      <c r="X18" s="59">
        <v>2740</v>
      </c>
      <c r="Y18" s="59">
        <v>6155</v>
      </c>
      <c r="Z18" s="70">
        <v>0.30803799999999998</v>
      </c>
      <c r="AA18" s="59">
        <v>2707</v>
      </c>
      <c r="AB18" s="59">
        <v>6117</v>
      </c>
      <c r="AC18" s="70">
        <v>0.30677599999999999</v>
      </c>
      <c r="AD18" s="59">
        <v>2738</v>
      </c>
      <c r="AE18" s="59">
        <v>6068</v>
      </c>
      <c r="AF18" s="70">
        <v>0.31092399999999998</v>
      </c>
    </row>
    <row r="19" spans="2:32" x14ac:dyDescent="0.2">
      <c r="B19" s="71" t="s">
        <v>26</v>
      </c>
      <c r="C19" s="62">
        <v>4422</v>
      </c>
      <c r="D19" s="62">
        <v>10068</v>
      </c>
      <c r="E19" s="72">
        <v>0.30517499999999997</v>
      </c>
      <c r="F19" s="62">
        <v>4736</v>
      </c>
      <c r="G19" s="62">
        <v>10364</v>
      </c>
      <c r="H19" s="72">
        <v>0.31364199999999998</v>
      </c>
      <c r="I19" s="62">
        <v>4797</v>
      </c>
      <c r="J19" s="62">
        <v>10614</v>
      </c>
      <c r="K19" s="72">
        <v>0.31127100000000002</v>
      </c>
      <c r="L19" s="62">
        <v>4861</v>
      </c>
      <c r="M19" s="62">
        <v>10984</v>
      </c>
      <c r="N19" s="72">
        <v>0.306784</v>
      </c>
      <c r="O19" s="62">
        <v>4991</v>
      </c>
      <c r="P19" s="62">
        <v>11095</v>
      </c>
      <c r="Q19" s="72">
        <v>0.31026900000000002</v>
      </c>
      <c r="R19" s="62">
        <v>5094</v>
      </c>
      <c r="S19" s="62">
        <v>11512</v>
      </c>
      <c r="T19" s="72">
        <v>0.30675599999999997</v>
      </c>
      <c r="U19" s="62">
        <v>5110</v>
      </c>
      <c r="V19" s="62">
        <v>11896</v>
      </c>
      <c r="W19" s="72">
        <v>0.30048200000000003</v>
      </c>
      <c r="X19" s="62">
        <v>5151</v>
      </c>
      <c r="Y19" s="62">
        <v>12185</v>
      </c>
      <c r="Z19" s="72">
        <v>0.29712699999999997</v>
      </c>
      <c r="AA19" s="62">
        <v>5142</v>
      </c>
      <c r="AB19" s="62">
        <v>12410</v>
      </c>
      <c r="AC19" s="72">
        <v>0.292958</v>
      </c>
      <c r="AD19" s="62">
        <v>5199</v>
      </c>
      <c r="AE19" s="62">
        <v>12492</v>
      </c>
      <c r="AF19" s="72">
        <v>0.29387799999999997</v>
      </c>
    </row>
    <row r="20" spans="2:32" x14ac:dyDescent="0.2">
      <c r="B20" s="20" t="s">
        <v>27</v>
      </c>
      <c r="C20" s="21">
        <f>SUBTOTAL(109,'On-Campus Enrollment Trend'!$C$6:$C$19)</f>
        <v>34982</v>
      </c>
      <c r="D20" s="21">
        <f>SUBTOTAL(109,'On-Campus Enrollment Trend'!$D$6:$D$19)</f>
        <v>84531</v>
      </c>
      <c r="E20" s="22">
        <f>'On-Campus Enrollment Trend'!$C$20 / ('On-Campus Enrollment Trend'!$D$20 + 'On-Campus Enrollment Trend'!$C$20)</f>
        <v>0.29270455933664119</v>
      </c>
      <c r="F20" s="21">
        <f>SUBTOTAL(109,'On-Campus Enrollment Trend'!$F$6:$F$19)</f>
        <v>35183</v>
      </c>
      <c r="G20" s="21">
        <f>SUBTOTAL(109,'On-Campus Enrollment Trend'!$G$6:$G$19)</f>
        <v>83041</v>
      </c>
      <c r="H20" s="22">
        <f>'On-Campus Enrollment Trend'!$F$20 / ('On-Campus Enrollment Trend'!$G$20 + 'On-Campus Enrollment Trend'!$F$20)</f>
        <v>0.29759608878061983</v>
      </c>
      <c r="I20" s="21">
        <f>SUBTOTAL(109,'On-Campus Enrollment Trend'!$I$6:$I$19)</f>
        <v>33655</v>
      </c>
      <c r="J20" s="21">
        <f>SUBTOTAL(109,'On-Campus Enrollment Trend'!$J$6:$J$19)</f>
        <v>81033</v>
      </c>
      <c r="K20" s="22">
        <f>'On-Campus Enrollment Trend'!$I$20 /('On-Campus Enrollment Trend'!$I$20 + 'On-Campus Enrollment Trend'!$J$20)</f>
        <v>0.2934483119419643</v>
      </c>
      <c r="L20" s="21">
        <f>SUBTOTAL(109,'On-Campus Enrollment Trend'!$L$6:$L$19)</f>
        <v>33446</v>
      </c>
      <c r="M20" s="21">
        <f>SUBTOTAL(109,'On-Campus Enrollment Trend'!$M$6:$M$19)</f>
        <v>78779</v>
      </c>
      <c r="N20" s="22">
        <f>'On-Campus Enrollment Trend'!$L$20 / ('On-Campus Enrollment Trend'!$M$20 + 'On-Campus Enrollment Trend'!$L$20)</f>
        <v>0.29802628647805746</v>
      </c>
      <c r="O20" s="21">
        <f>SUBTOTAL(109,'On-Campus Enrollment Trend'!$O$6:$O$19)</f>
        <v>31592</v>
      </c>
      <c r="P20" s="21">
        <f>SUBTOTAL(109,'On-Campus Enrollment Trend'!$P$6:$P$19)</f>
        <v>78216</v>
      </c>
      <c r="Q20" s="22">
        <f>'On-Campus Enrollment Trend'!$O$20 /('On-Campus Enrollment Trend'!$P$20 +'On-Campus Enrollment Trend'!$O$20)</f>
        <v>0.28770217106221768</v>
      </c>
      <c r="R20" s="21">
        <f>SUBTOTAL(109,'On-Campus Enrollment Trend'!$R$6:$R$19)</f>
        <v>32401</v>
      </c>
      <c r="S20" s="21">
        <f>SUBTOTAL(109,'On-Campus Enrollment Trend'!$S$6:$S$19)</f>
        <v>74998</v>
      </c>
      <c r="T20" s="22">
        <f>'On-Campus Enrollment Trend'!$R$20 / ('On-Campus Enrollment Trend'!$S$20 + 'On-Campus Enrollment Trend'!$R$20 )</f>
        <v>0.30168809765454052</v>
      </c>
      <c r="U20" s="21">
        <f>SUBTOTAL(109,'On-Campus Enrollment Trend'!$U$6:$U$19)</f>
        <v>27954</v>
      </c>
      <c r="V20" s="21">
        <f>SUBTOTAL(109,'On-Campus Enrollment Trend'!$V$6:$V$19)</f>
        <v>77095</v>
      </c>
      <c r="W20" s="22">
        <f>'On-Campus Enrollment Trend'!$U$20 / ('On-Campus Enrollment Trend'!$U$20 + 'On-Campus Enrollment Trend'!$V$20)</f>
        <v>0.26610438938019398</v>
      </c>
      <c r="X20" s="21">
        <f>SUBTOTAL(109,'On-Campus Enrollment Trend'!$X$6:$X$19)</f>
        <v>29539</v>
      </c>
      <c r="Y20" s="21">
        <f>SUBTOTAL(109,'On-Campus Enrollment Trend'!$Y$6:$Y$19)</f>
        <v>73033</v>
      </c>
      <c r="Z20" s="22">
        <f>'On-Campus Enrollment Trend'!$X$20 / ( 'On-Campus Enrollment Trend'!$X$20 + 'On-Campus Enrollment Trend'!$Y$20)</f>
        <v>0.28798307530320166</v>
      </c>
      <c r="AA20" s="21">
        <f>SUBTOTAL(109,'On-Campus Enrollment Trend'!$AA$6:$AA$19)</f>
        <v>27814</v>
      </c>
      <c r="AB20" s="21">
        <f>SUBTOTAL(109,'On-Campus Enrollment Trend'!$AB$6:$AB$19)</f>
        <v>70549</v>
      </c>
      <c r="AC20" s="22">
        <f>'On-Campus Enrollment Trend'!$AA$20 / ('On-Campus Enrollment Trend'!$AB$20 + 'On-Campus Enrollment Trend'!$AA$20)</f>
        <v>0.28276892734056502</v>
      </c>
      <c r="AD20" s="21">
        <f>SUBTOTAL(109,'On-Campus Enrollment Trend'!$AD$6:$AD$19)</f>
        <v>27533</v>
      </c>
      <c r="AE20" s="21">
        <f>SUBTOTAL(109,'On-Campus Enrollment Trend'!$AE$6:$AE$19)</f>
        <v>68269</v>
      </c>
      <c r="AF20" s="22">
        <f>'On-Campus Enrollment Trend'!$AD$20 / ('On-Campus Enrollment Trend'!$AE$20 + 'On-Campus Enrollment Trend'!$AD$20)</f>
        <v>0.28739483518089393</v>
      </c>
    </row>
    <row r="23" spans="2:32" ht="15" x14ac:dyDescent="0.2">
      <c r="B23" s="131" t="s">
        <v>274</v>
      </c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</row>
    <row r="24" spans="2:32" x14ac:dyDescent="0.2">
      <c r="B24" s="134" t="s">
        <v>1</v>
      </c>
      <c r="C24" s="133" t="str">
        <f>CONCATENATE(IF(RIGHT(Parameters!B1,1) = "1","Fall ", "Spring "),IF(RIGHT(Parameters!B1,1) = "1",LEFT(Parameters!B1,4) -9, LEFT(Parameters!B1,4) - 8))</f>
        <v>Fall 2010</v>
      </c>
      <c r="D24" s="133"/>
      <c r="E24" s="133"/>
      <c r="F24" s="133" t="str">
        <f>CONCATENATE(IF(RIGHT(Parameters!B1,1) = "1","Fall ", "Spring "),IF(RIGHT(Parameters!B1,1) = "1",LEFT(Parameters!B1,4) -8, LEFT(Parameters!B1,4) - 7))</f>
        <v>Fall 2011</v>
      </c>
      <c r="G24" s="133"/>
      <c r="H24" s="133"/>
      <c r="I24" s="133" t="str">
        <f>CONCATENATE(IF(RIGHT(Parameters!B1,1) = "1","Fall ", "Spring "),IF(RIGHT(Parameters!B1,1) = "1",LEFT(Parameters!B1,4) -7, LEFT(Parameters!B1,4) - 6))</f>
        <v>Fall 2012</v>
      </c>
      <c r="J24" s="133"/>
      <c r="K24" s="133"/>
      <c r="L24" s="133" t="str">
        <f>CONCATENATE(IF(RIGHT(Parameters!B1,1) = "1","Fall ", "Spring "),IF(RIGHT(Parameters!B1,1) = "1",LEFT(Parameters!B1,4) -6, LEFT(Parameters!B1,4) - 5))</f>
        <v>Fall 2013</v>
      </c>
      <c r="M24" s="133"/>
      <c r="N24" s="133"/>
      <c r="O24" s="133" t="str">
        <f>CONCATENATE(IF(RIGHT(Parameters!B1,1) = "1","Fall ", "Spring "),IF(RIGHT(Parameters!B1,1) = "1",LEFT(Parameters!B1,4) -5, LEFT(Parameters!B1,4) - 4))</f>
        <v>Fall 2014</v>
      </c>
      <c r="P24" s="133"/>
      <c r="Q24" s="133"/>
      <c r="R24" s="133" t="str">
        <f>CONCATENATE(IF(RIGHT(Parameters!B1,1) = "1","Fall ", "Spring "),IF(RIGHT(Parameters!B1,1) = "1",LEFT(Parameters!B1,4) -4, LEFT(Parameters!B1,4) - 3))</f>
        <v>Fall 2015</v>
      </c>
      <c r="S24" s="133"/>
      <c r="T24" s="133"/>
      <c r="U24" s="133" t="str">
        <f>CONCATENATE(IF(RIGHT(Parameters!B1,1) = "1","Fall ", "Spring "),IF(RIGHT(Parameters!B1,1) = "1",LEFT(Parameters!B1,4) -3, LEFT(Parameters!B1,4) - 2))</f>
        <v>Fall 2016</v>
      </c>
      <c r="V24" s="133"/>
      <c r="W24" s="133"/>
      <c r="X24" s="133" t="str">
        <f>CONCATENATE(IF(RIGHT(Parameters!B1,1) = "1","Fall ", "Spring "),IF(RIGHT(Parameters!B1,1) = "1",LEFT(Parameters!B1,4) -2, LEFT(Parameters!B1,4) - 1))</f>
        <v>Fall 2017</v>
      </c>
      <c r="Y24" s="133"/>
      <c r="Z24" s="133"/>
      <c r="AA24" s="133" t="str">
        <f>CONCATENATE(IF(RIGHT(Parameters!B1,1) = "1","Fall ", "Spring "),IF(RIGHT(Parameters!B1,1) = "1",LEFT(Parameters!B1,4) -1, LEFT(Parameters!B1,4) ))</f>
        <v>Fall 2018</v>
      </c>
      <c r="AB24" s="133"/>
      <c r="AC24" s="133"/>
      <c r="AD24" s="133" t="str">
        <f>CONCATENATE(IF(RIGHT(Parameters!B1,1) = "1","Fall ", "Spring "),IF(RIGHT(Parameters!B1,1) = "1",LEFT(Parameters!B1,4), LEFT(Parameters!B1,4) + 1))</f>
        <v>Fall 2019</v>
      </c>
      <c r="AE24" s="133"/>
      <c r="AF24" s="133"/>
    </row>
    <row r="25" spans="2:32" ht="42.75" x14ac:dyDescent="0.2">
      <c r="B25" s="135"/>
      <c r="C25" s="54" t="s">
        <v>271</v>
      </c>
      <c r="D25" s="54" t="s">
        <v>272</v>
      </c>
      <c r="E25" s="54" t="s">
        <v>273</v>
      </c>
      <c r="F25" s="54" t="s">
        <v>271</v>
      </c>
      <c r="G25" s="54" t="s">
        <v>272</v>
      </c>
      <c r="H25" s="54" t="s">
        <v>273</v>
      </c>
      <c r="I25" s="54" t="s">
        <v>271</v>
      </c>
      <c r="J25" s="54" t="s">
        <v>272</v>
      </c>
      <c r="K25" s="54" t="s">
        <v>273</v>
      </c>
      <c r="L25" s="54" t="s">
        <v>271</v>
      </c>
      <c r="M25" s="54" t="s">
        <v>272</v>
      </c>
      <c r="N25" s="54" t="s">
        <v>273</v>
      </c>
      <c r="O25" s="54" t="s">
        <v>271</v>
      </c>
      <c r="P25" s="54" t="s">
        <v>272</v>
      </c>
      <c r="Q25" s="54" t="s">
        <v>273</v>
      </c>
      <c r="R25" s="54" t="s">
        <v>271</v>
      </c>
      <c r="S25" s="54" t="s">
        <v>272</v>
      </c>
      <c r="T25" s="54" t="s">
        <v>273</v>
      </c>
      <c r="U25" s="54" t="s">
        <v>271</v>
      </c>
      <c r="V25" s="54" t="s">
        <v>272</v>
      </c>
      <c r="W25" s="54" t="s">
        <v>273</v>
      </c>
      <c r="X25" s="54" t="s">
        <v>271</v>
      </c>
      <c r="Y25" s="54" t="s">
        <v>272</v>
      </c>
      <c r="Z25" s="54" t="s">
        <v>273</v>
      </c>
      <c r="AA25" s="54" t="s">
        <v>271</v>
      </c>
      <c r="AB25" s="54" t="s">
        <v>272</v>
      </c>
      <c r="AC25" s="54" t="s">
        <v>273</v>
      </c>
      <c r="AD25" s="54" t="s">
        <v>271</v>
      </c>
      <c r="AE25" s="54" t="s">
        <v>272</v>
      </c>
      <c r="AF25" s="54" t="s">
        <v>273</v>
      </c>
    </row>
    <row r="26" spans="2:32" ht="17.25" hidden="1" customHeight="1" thickBot="1" x14ac:dyDescent="0.25">
      <c r="B26" s="26" t="s">
        <v>2</v>
      </c>
      <c r="C26" s="26" t="s">
        <v>84</v>
      </c>
      <c r="D26" s="26" t="s">
        <v>85</v>
      </c>
      <c r="E26" s="26" t="s">
        <v>86</v>
      </c>
      <c r="F26" s="26" t="s">
        <v>87</v>
      </c>
      <c r="G26" s="26" t="s">
        <v>88</v>
      </c>
      <c r="H26" s="26" t="s">
        <v>89</v>
      </c>
      <c r="I26" s="26" t="s">
        <v>90</v>
      </c>
      <c r="J26" s="26" t="s">
        <v>91</v>
      </c>
      <c r="K26" s="26" t="s">
        <v>92</v>
      </c>
      <c r="L26" s="26" t="s">
        <v>93</v>
      </c>
      <c r="M26" s="26" t="s">
        <v>94</v>
      </c>
      <c r="N26" s="26" t="s">
        <v>95</v>
      </c>
      <c r="O26" s="26" t="s">
        <v>96</v>
      </c>
      <c r="P26" s="26" t="s">
        <v>97</v>
      </c>
      <c r="Q26" s="26" t="s">
        <v>98</v>
      </c>
      <c r="R26" s="26" t="s">
        <v>99</v>
      </c>
      <c r="S26" s="26" t="s">
        <v>100</v>
      </c>
      <c r="T26" s="26" t="s">
        <v>101</v>
      </c>
      <c r="U26" s="26" t="s">
        <v>102</v>
      </c>
      <c r="V26" s="26" t="s">
        <v>103</v>
      </c>
      <c r="W26" s="26" t="s">
        <v>104</v>
      </c>
      <c r="X26" s="26" t="s">
        <v>105</v>
      </c>
      <c r="Y26" s="26" t="s">
        <v>106</v>
      </c>
      <c r="Z26" s="26" t="s">
        <v>107</v>
      </c>
      <c r="AA26" s="26" t="s">
        <v>108</v>
      </c>
      <c r="AB26" s="26" t="s">
        <v>109</v>
      </c>
      <c r="AC26" s="26" t="s">
        <v>110</v>
      </c>
      <c r="AD26" s="26" t="s">
        <v>111</v>
      </c>
      <c r="AE26" s="26" t="s">
        <v>112</v>
      </c>
      <c r="AF26" s="26" t="s">
        <v>113</v>
      </c>
    </row>
    <row r="27" spans="2:32" x14ac:dyDescent="0.2">
      <c r="B27" s="67" t="s">
        <v>13</v>
      </c>
      <c r="C27" s="57">
        <v>3865</v>
      </c>
      <c r="D27" s="57">
        <v>5271</v>
      </c>
      <c r="E27" s="68">
        <v>0.42305100000000001</v>
      </c>
      <c r="F27" s="57">
        <v>3713</v>
      </c>
      <c r="G27" s="57">
        <v>5543</v>
      </c>
      <c r="H27" s="68">
        <v>0.40114499999999997</v>
      </c>
      <c r="I27" s="57">
        <v>3585</v>
      </c>
      <c r="J27" s="57">
        <v>5618</v>
      </c>
      <c r="K27" s="68">
        <v>0.389546</v>
      </c>
      <c r="L27" s="57">
        <v>3824</v>
      </c>
      <c r="M27" s="57">
        <v>5592</v>
      </c>
      <c r="N27" s="68">
        <v>0.40611700000000001</v>
      </c>
      <c r="O27" s="57">
        <v>3764</v>
      </c>
      <c r="P27" s="57">
        <v>5555</v>
      </c>
      <c r="Q27" s="68">
        <v>0.40390500000000001</v>
      </c>
      <c r="R27" s="57">
        <v>3729</v>
      </c>
      <c r="S27" s="57">
        <v>5429</v>
      </c>
      <c r="T27" s="68">
        <v>0.40718399999999999</v>
      </c>
      <c r="U27" s="57">
        <v>3402</v>
      </c>
      <c r="V27" s="57">
        <v>5593</v>
      </c>
      <c r="W27" s="68">
        <v>0.37820999999999999</v>
      </c>
      <c r="X27" s="57">
        <v>3139</v>
      </c>
      <c r="Y27" s="57">
        <v>5467</v>
      </c>
      <c r="Z27" s="68">
        <v>0.36474499999999999</v>
      </c>
      <c r="AA27" s="57">
        <v>2980</v>
      </c>
      <c r="AB27" s="57">
        <v>5273</v>
      </c>
      <c r="AC27" s="68">
        <v>0.36108000000000001</v>
      </c>
      <c r="AD27" s="57">
        <v>2964</v>
      </c>
      <c r="AE27" s="57">
        <v>5028</v>
      </c>
      <c r="AF27" s="68">
        <v>0.37086999999999998</v>
      </c>
    </row>
    <row r="28" spans="2:32" x14ac:dyDescent="0.2">
      <c r="B28" s="69" t="s">
        <v>14</v>
      </c>
      <c r="C28" s="59">
        <v>1479</v>
      </c>
      <c r="D28" s="59">
        <v>5940</v>
      </c>
      <c r="E28" s="70">
        <v>0.199353</v>
      </c>
      <c r="F28" s="59">
        <v>1494</v>
      </c>
      <c r="G28" s="59">
        <v>5923</v>
      </c>
      <c r="H28" s="70">
        <v>0.201429</v>
      </c>
      <c r="I28" s="59">
        <v>1333</v>
      </c>
      <c r="J28" s="59">
        <v>5348</v>
      </c>
      <c r="K28" s="70">
        <v>0.199521</v>
      </c>
      <c r="L28" s="59">
        <v>1465</v>
      </c>
      <c r="M28" s="59">
        <v>4985</v>
      </c>
      <c r="N28" s="70">
        <v>0.227131</v>
      </c>
      <c r="O28" s="59">
        <v>1456</v>
      </c>
      <c r="P28" s="59">
        <v>4620</v>
      </c>
      <c r="Q28" s="70">
        <v>0.23963100000000001</v>
      </c>
      <c r="R28" s="59">
        <v>1291</v>
      </c>
      <c r="S28" s="59">
        <v>4494</v>
      </c>
      <c r="T28" s="70">
        <v>0.223163</v>
      </c>
      <c r="U28" s="59">
        <v>1195</v>
      </c>
      <c r="V28" s="59">
        <v>4327</v>
      </c>
      <c r="W28" s="70">
        <v>0.21640699999999999</v>
      </c>
      <c r="X28" s="59">
        <v>1176</v>
      </c>
      <c r="Y28" s="59">
        <v>4381</v>
      </c>
      <c r="Z28" s="70">
        <v>0.21162400000000001</v>
      </c>
      <c r="AA28" s="59">
        <v>1182</v>
      </c>
      <c r="AB28" s="59">
        <v>3992</v>
      </c>
      <c r="AC28" s="70">
        <v>0.22844900000000001</v>
      </c>
      <c r="AD28" s="59">
        <v>1181</v>
      </c>
      <c r="AE28" s="59">
        <v>3675</v>
      </c>
      <c r="AF28" s="70">
        <v>0.243204</v>
      </c>
    </row>
    <row r="29" spans="2:32" x14ac:dyDescent="0.2">
      <c r="B29" s="69" t="s">
        <v>15</v>
      </c>
      <c r="C29" s="59">
        <v>1101</v>
      </c>
      <c r="D29" s="59">
        <v>407</v>
      </c>
      <c r="E29" s="70">
        <v>0.73010600000000003</v>
      </c>
      <c r="F29" s="59">
        <v>828</v>
      </c>
      <c r="G29" s="59">
        <v>313</v>
      </c>
      <c r="H29" s="70">
        <v>0.72567899999999996</v>
      </c>
      <c r="I29" s="59">
        <v>710</v>
      </c>
      <c r="J29" s="59">
        <v>514</v>
      </c>
      <c r="K29" s="70">
        <v>0.58006500000000005</v>
      </c>
      <c r="L29" s="59">
        <v>862</v>
      </c>
      <c r="M29" s="59">
        <v>317</v>
      </c>
      <c r="N29" s="70">
        <v>0.731128</v>
      </c>
      <c r="O29" s="59">
        <v>792</v>
      </c>
      <c r="P29" s="59">
        <v>205</v>
      </c>
      <c r="Q29" s="70">
        <v>0.79438299999999995</v>
      </c>
      <c r="R29" s="59">
        <v>467</v>
      </c>
      <c r="S29" s="59">
        <v>219</v>
      </c>
      <c r="T29" s="70">
        <v>0.68075799999999997</v>
      </c>
      <c r="U29" s="59">
        <v>523</v>
      </c>
      <c r="V29" s="59">
        <v>186</v>
      </c>
      <c r="W29" s="70">
        <v>0.73765800000000004</v>
      </c>
      <c r="X29" s="59">
        <v>415</v>
      </c>
      <c r="Y29" s="59">
        <v>308</v>
      </c>
      <c r="Z29" s="70">
        <v>0.57399699999999998</v>
      </c>
      <c r="AA29" s="59">
        <v>266</v>
      </c>
      <c r="AB29" s="59">
        <v>203</v>
      </c>
      <c r="AC29" s="70">
        <v>0.567164</v>
      </c>
      <c r="AD29" s="59">
        <v>481</v>
      </c>
      <c r="AE29" s="59">
        <v>137</v>
      </c>
      <c r="AF29" s="70">
        <v>0.77831700000000004</v>
      </c>
    </row>
    <row r="30" spans="2:32" x14ac:dyDescent="0.2">
      <c r="B30" s="69" t="s">
        <v>16</v>
      </c>
      <c r="C30" s="59">
        <v>1419</v>
      </c>
      <c r="D30" s="59">
        <v>4806</v>
      </c>
      <c r="E30" s="70">
        <v>0.22795099999999999</v>
      </c>
      <c r="F30" s="59">
        <v>1286</v>
      </c>
      <c r="G30" s="59">
        <v>4590</v>
      </c>
      <c r="H30" s="70">
        <v>0.21885599999999999</v>
      </c>
      <c r="I30" s="59">
        <v>1039</v>
      </c>
      <c r="J30" s="59">
        <v>4479</v>
      </c>
      <c r="K30" s="70">
        <v>0.18829199999999999</v>
      </c>
      <c r="L30" s="59">
        <v>1143</v>
      </c>
      <c r="M30" s="59">
        <v>4056</v>
      </c>
      <c r="N30" s="70">
        <v>0.21984899999999999</v>
      </c>
      <c r="O30" s="59">
        <v>1984</v>
      </c>
      <c r="P30" s="59">
        <v>2922</v>
      </c>
      <c r="Q30" s="70">
        <v>0.40440199999999998</v>
      </c>
      <c r="R30" s="59">
        <v>1605</v>
      </c>
      <c r="S30" s="59">
        <v>2950</v>
      </c>
      <c r="T30" s="70">
        <v>0.35236000000000001</v>
      </c>
      <c r="U30" s="59">
        <v>1598</v>
      </c>
      <c r="V30" s="59">
        <v>2732</v>
      </c>
      <c r="W30" s="70">
        <v>0.36905300000000002</v>
      </c>
      <c r="X30" s="59">
        <v>1825</v>
      </c>
      <c r="Y30" s="59">
        <v>2496</v>
      </c>
      <c r="Z30" s="70">
        <v>0.42235499999999998</v>
      </c>
      <c r="AA30" s="59">
        <v>1367</v>
      </c>
      <c r="AB30" s="59">
        <v>2575</v>
      </c>
      <c r="AC30" s="70">
        <v>0.34677799999999998</v>
      </c>
      <c r="AD30" s="59">
        <v>1388</v>
      </c>
      <c r="AE30" s="59">
        <v>2388</v>
      </c>
      <c r="AF30" s="70">
        <v>0.36758400000000002</v>
      </c>
    </row>
    <row r="31" spans="2:32" x14ac:dyDescent="0.2">
      <c r="B31" s="69" t="s">
        <v>17</v>
      </c>
      <c r="C31" s="59">
        <v>2597</v>
      </c>
      <c r="D31" s="59">
        <v>3775</v>
      </c>
      <c r="E31" s="70">
        <v>0.40756399999999998</v>
      </c>
      <c r="F31" s="59">
        <v>2811</v>
      </c>
      <c r="G31" s="59">
        <v>3845</v>
      </c>
      <c r="H31" s="70">
        <v>0.42232500000000001</v>
      </c>
      <c r="I31" s="59">
        <v>2782</v>
      </c>
      <c r="J31" s="59">
        <v>3573</v>
      </c>
      <c r="K31" s="70">
        <v>0.43776500000000002</v>
      </c>
      <c r="L31" s="59">
        <v>2710</v>
      </c>
      <c r="M31" s="59">
        <v>3476</v>
      </c>
      <c r="N31" s="70">
        <v>0.43808599999999998</v>
      </c>
      <c r="O31" s="59">
        <v>2708</v>
      </c>
      <c r="P31" s="59">
        <v>3496</v>
      </c>
      <c r="Q31" s="70">
        <v>0.43649199999999999</v>
      </c>
      <c r="R31" s="59">
        <v>2818</v>
      </c>
      <c r="S31" s="59">
        <v>3349</v>
      </c>
      <c r="T31" s="70">
        <v>0.45694800000000002</v>
      </c>
      <c r="U31" s="59">
        <v>0</v>
      </c>
      <c r="V31" s="59">
        <v>6159</v>
      </c>
      <c r="W31" s="70">
        <v>0</v>
      </c>
      <c r="X31" s="59">
        <v>2800</v>
      </c>
      <c r="Y31" s="59">
        <v>3251</v>
      </c>
      <c r="Z31" s="70">
        <v>0.46273300000000001</v>
      </c>
      <c r="AA31" s="59">
        <v>2631</v>
      </c>
      <c r="AB31" s="59">
        <v>3082</v>
      </c>
      <c r="AC31" s="70">
        <v>0.46052799999999999</v>
      </c>
      <c r="AD31" s="59">
        <v>2392</v>
      </c>
      <c r="AE31" s="59">
        <v>3025</v>
      </c>
      <c r="AF31" s="70">
        <v>0.44157200000000002</v>
      </c>
    </row>
    <row r="32" spans="2:32" x14ac:dyDescent="0.2">
      <c r="B32" s="69" t="s">
        <v>18</v>
      </c>
      <c r="C32" s="59">
        <v>2067</v>
      </c>
      <c r="D32" s="59">
        <v>4630</v>
      </c>
      <c r="E32" s="70">
        <v>0.308645</v>
      </c>
      <c r="F32" s="59">
        <v>2092</v>
      </c>
      <c r="G32" s="59">
        <v>4557</v>
      </c>
      <c r="H32" s="70">
        <v>0.314633</v>
      </c>
      <c r="I32" s="59">
        <v>2277</v>
      </c>
      <c r="J32" s="59">
        <v>3813</v>
      </c>
      <c r="K32" s="70">
        <v>0.37389099999999997</v>
      </c>
      <c r="L32" s="59">
        <v>2146</v>
      </c>
      <c r="M32" s="59">
        <v>3718</v>
      </c>
      <c r="N32" s="70">
        <v>0.36596099999999998</v>
      </c>
      <c r="O32" s="59">
        <v>2064</v>
      </c>
      <c r="P32" s="59">
        <v>3531</v>
      </c>
      <c r="Q32" s="70">
        <v>0.36890000000000001</v>
      </c>
      <c r="R32" s="59">
        <v>1987</v>
      </c>
      <c r="S32" s="59">
        <v>3260</v>
      </c>
      <c r="T32" s="70">
        <v>0.37869199999999997</v>
      </c>
      <c r="U32" s="59">
        <v>1781</v>
      </c>
      <c r="V32" s="59">
        <v>3059</v>
      </c>
      <c r="W32" s="70">
        <v>0.367975</v>
      </c>
      <c r="X32" s="59">
        <v>1410</v>
      </c>
      <c r="Y32" s="59">
        <v>2881</v>
      </c>
      <c r="Z32" s="70">
        <v>0.328594</v>
      </c>
      <c r="AA32" s="59">
        <v>1051</v>
      </c>
      <c r="AB32" s="59">
        <v>2521</v>
      </c>
      <c r="AC32" s="70">
        <v>0.29423199999999999</v>
      </c>
      <c r="AD32" s="59">
        <v>1014</v>
      </c>
      <c r="AE32" s="59">
        <v>2385</v>
      </c>
      <c r="AF32" s="70">
        <v>0.298323</v>
      </c>
    </row>
    <row r="33" spans="2:32" x14ac:dyDescent="0.2">
      <c r="B33" s="69" t="s">
        <v>19</v>
      </c>
      <c r="C33" s="59">
        <v>4319</v>
      </c>
      <c r="D33" s="59">
        <v>8508</v>
      </c>
      <c r="E33" s="70">
        <v>0.33671099999999998</v>
      </c>
      <c r="F33" s="59">
        <v>4416</v>
      </c>
      <c r="G33" s="59">
        <v>8527</v>
      </c>
      <c r="H33" s="70">
        <v>0.34118799999999999</v>
      </c>
      <c r="I33" s="59">
        <v>4441</v>
      </c>
      <c r="J33" s="59">
        <v>8834</v>
      </c>
      <c r="K33" s="70">
        <v>0.334538</v>
      </c>
      <c r="L33" s="59">
        <v>3965</v>
      </c>
      <c r="M33" s="59">
        <v>8703</v>
      </c>
      <c r="N33" s="70">
        <v>0.31299300000000002</v>
      </c>
      <c r="O33" s="59">
        <v>3873</v>
      </c>
      <c r="P33" s="59">
        <v>8459</v>
      </c>
      <c r="Q33" s="70">
        <v>0.31406000000000001</v>
      </c>
      <c r="R33" s="59">
        <v>3838</v>
      </c>
      <c r="S33" s="59">
        <v>7959</v>
      </c>
      <c r="T33" s="70">
        <v>0.32533600000000001</v>
      </c>
      <c r="U33" s="59">
        <v>3410</v>
      </c>
      <c r="V33" s="59">
        <v>7469</v>
      </c>
      <c r="W33" s="70">
        <v>0.31344699999999998</v>
      </c>
      <c r="X33" s="59">
        <v>3275</v>
      </c>
      <c r="Y33" s="59">
        <v>7114</v>
      </c>
      <c r="Z33" s="70">
        <v>0.31523699999999999</v>
      </c>
      <c r="AA33" s="59">
        <v>2838</v>
      </c>
      <c r="AB33" s="59">
        <v>6633</v>
      </c>
      <c r="AC33" s="70">
        <v>0.299651</v>
      </c>
      <c r="AD33" s="59">
        <v>2667</v>
      </c>
      <c r="AE33" s="59">
        <v>5900</v>
      </c>
      <c r="AF33" s="70">
        <v>0.31130999999999998</v>
      </c>
    </row>
    <row r="34" spans="2:32" x14ac:dyDescent="0.2">
      <c r="B34" s="69" t="s">
        <v>20</v>
      </c>
      <c r="C34" s="59">
        <v>3169</v>
      </c>
      <c r="D34" s="59">
        <v>6556</v>
      </c>
      <c r="E34" s="70">
        <v>0.32586100000000001</v>
      </c>
      <c r="F34" s="59">
        <v>3176</v>
      </c>
      <c r="G34" s="59">
        <v>6310</v>
      </c>
      <c r="H34" s="70">
        <v>0.33480900000000002</v>
      </c>
      <c r="I34" s="59">
        <v>2965</v>
      </c>
      <c r="J34" s="59">
        <v>6170</v>
      </c>
      <c r="K34" s="70">
        <v>0.324575</v>
      </c>
      <c r="L34" s="59">
        <v>2723</v>
      </c>
      <c r="M34" s="59">
        <v>6092</v>
      </c>
      <c r="N34" s="70">
        <v>0.30890499999999999</v>
      </c>
      <c r="O34" s="59">
        <v>2535</v>
      </c>
      <c r="P34" s="59">
        <v>6027</v>
      </c>
      <c r="Q34" s="70">
        <v>0.29607499999999998</v>
      </c>
      <c r="R34" s="59">
        <v>2706</v>
      </c>
      <c r="S34" s="59">
        <v>5587</v>
      </c>
      <c r="T34" s="70">
        <v>0.32629900000000001</v>
      </c>
      <c r="U34" s="59">
        <v>2493</v>
      </c>
      <c r="V34" s="59">
        <v>5225</v>
      </c>
      <c r="W34" s="70">
        <v>0.32301099999999999</v>
      </c>
      <c r="X34" s="59">
        <v>2401</v>
      </c>
      <c r="Y34" s="59">
        <v>5088</v>
      </c>
      <c r="Z34" s="70">
        <v>0.32060300000000003</v>
      </c>
      <c r="AA34" s="59">
        <v>2569</v>
      </c>
      <c r="AB34" s="59">
        <v>4822</v>
      </c>
      <c r="AC34" s="70">
        <v>0.347584</v>
      </c>
      <c r="AD34" s="59">
        <v>2329</v>
      </c>
      <c r="AE34" s="59">
        <v>4875</v>
      </c>
      <c r="AF34" s="70">
        <v>0.32329200000000002</v>
      </c>
    </row>
    <row r="35" spans="2:32" x14ac:dyDescent="0.2">
      <c r="B35" s="69" t="s">
        <v>21</v>
      </c>
      <c r="C35" s="59">
        <v>1553</v>
      </c>
      <c r="D35" s="59">
        <v>3562</v>
      </c>
      <c r="E35" s="70">
        <v>0.303616</v>
      </c>
      <c r="F35" s="59">
        <v>1577</v>
      </c>
      <c r="G35" s="59">
        <v>3452</v>
      </c>
      <c r="H35" s="70">
        <v>0.313581</v>
      </c>
      <c r="I35" s="59">
        <v>1123</v>
      </c>
      <c r="J35" s="59">
        <v>3846</v>
      </c>
      <c r="K35" s="70">
        <v>0.22600100000000001</v>
      </c>
      <c r="L35" s="59">
        <v>988</v>
      </c>
      <c r="M35" s="59">
        <v>3867</v>
      </c>
      <c r="N35" s="70">
        <v>0.20350099999999999</v>
      </c>
      <c r="O35" s="59">
        <v>781</v>
      </c>
      <c r="P35" s="59">
        <v>3740</v>
      </c>
      <c r="Q35" s="70">
        <v>0.17274900000000001</v>
      </c>
      <c r="R35" s="59">
        <v>603</v>
      </c>
      <c r="S35" s="59">
        <v>3617</v>
      </c>
      <c r="T35" s="70">
        <v>0.14288999999999999</v>
      </c>
      <c r="U35" s="59">
        <v>474</v>
      </c>
      <c r="V35" s="59">
        <v>3371</v>
      </c>
      <c r="W35" s="70">
        <v>0.123276</v>
      </c>
      <c r="X35" s="59">
        <v>394</v>
      </c>
      <c r="Y35" s="59">
        <v>3078</v>
      </c>
      <c r="Z35" s="70">
        <v>0.113479</v>
      </c>
      <c r="AA35" s="59">
        <v>245</v>
      </c>
      <c r="AB35" s="59">
        <v>2822</v>
      </c>
      <c r="AC35" s="70">
        <v>7.9881999999999995E-2</v>
      </c>
      <c r="AD35" s="59">
        <v>250</v>
      </c>
      <c r="AE35" s="59">
        <v>2502</v>
      </c>
      <c r="AF35" s="70">
        <v>9.0842999999999993E-2</v>
      </c>
    </row>
    <row r="36" spans="2:32" x14ac:dyDescent="0.2">
      <c r="B36" s="69" t="s">
        <v>22</v>
      </c>
      <c r="C36" s="59">
        <v>1456</v>
      </c>
      <c r="D36" s="59">
        <v>1489</v>
      </c>
      <c r="E36" s="70">
        <v>0.49439699999999998</v>
      </c>
      <c r="F36" s="59">
        <v>1460</v>
      </c>
      <c r="G36" s="59">
        <v>1416</v>
      </c>
      <c r="H36" s="70">
        <v>0.50764900000000002</v>
      </c>
      <c r="I36" s="59">
        <v>1434</v>
      </c>
      <c r="J36" s="59">
        <v>1390</v>
      </c>
      <c r="K36" s="70">
        <v>0.50778999999999996</v>
      </c>
      <c r="L36" s="59">
        <v>1363</v>
      </c>
      <c r="M36" s="59">
        <v>1354</v>
      </c>
      <c r="N36" s="70">
        <v>0.50165599999999999</v>
      </c>
      <c r="O36" s="59">
        <v>1312</v>
      </c>
      <c r="P36" s="59">
        <v>1275</v>
      </c>
      <c r="Q36" s="70">
        <v>0.50715100000000002</v>
      </c>
      <c r="R36" s="59">
        <v>1125</v>
      </c>
      <c r="S36" s="59">
        <v>1143</v>
      </c>
      <c r="T36" s="70">
        <v>0.496031</v>
      </c>
      <c r="U36" s="59">
        <v>1011</v>
      </c>
      <c r="V36" s="59">
        <v>1110</v>
      </c>
      <c r="W36" s="70">
        <v>0.476661</v>
      </c>
      <c r="X36" s="59">
        <v>907</v>
      </c>
      <c r="Y36" s="59">
        <v>954</v>
      </c>
      <c r="Z36" s="70">
        <v>0.48737200000000003</v>
      </c>
      <c r="AA36" s="59">
        <v>827</v>
      </c>
      <c r="AB36" s="59">
        <v>785</v>
      </c>
      <c r="AC36" s="70">
        <v>0.51302700000000001</v>
      </c>
      <c r="AD36" s="59">
        <v>893</v>
      </c>
      <c r="AE36" s="59">
        <v>767</v>
      </c>
      <c r="AF36" s="70">
        <v>0.53795099999999996</v>
      </c>
    </row>
    <row r="37" spans="2:32" x14ac:dyDescent="0.2">
      <c r="B37" s="69" t="s">
        <v>23</v>
      </c>
      <c r="C37" s="59">
        <v>2202</v>
      </c>
      <c r="D37" s="59">
        <v>5402</v>
      </c>
      <c r="E37" s="70">
        <v>0.28958400000000001</v>
      </c>
      <c r="F37" s="59">
        <v>2239</v>
      </c>
      <c r="G37" s="59">
        <v>5405</v>
      </c>
      <c r="H37" s="70">
        <v>0.29290899999999997</v>
      </c>
      <c r="I37" s="59">
        <v>2217</v>
      </c>
      <c r="J37" s="59">
        <v>5207</v>
      </c>
      <c r="K37" s="70">
        <v>0.298626</v>
      </c>
      <c r="L37" s="59">
        <v>2434</v>
      </c>
      <c r="M37" s="59">
        <v>4954</v>
      </c>
      <c r="N37" s="70">
        <v>0.329453</v>
      </c>
      <c r="O37" s="59">
        <v>2357</v>
      </c>
      <c r="P37" s="59">
        <v>4814</v>
      </c>
      <c r="Q37" s="70">
        <v>0.32868399999999998</v>
      </c>
      <c r="R37" s="59">
        <v>2268</v>
      </c>
      <c r="S37" s="59">
        <v>4816</v>
      </c>
      <c r="T37" s="70">
        <v>0.320158</v>
      </c>
      <c r="U37" s="59">
        <v>2195</v>
      </c>
      <c r="V37" s="59">
        <v>4785</v>
      </c>
      <c r="W37" s="70">
        <v>0.314469</v>
      </c>
      <c r="X37" s="59">
        <v>2127</v>
      </c>
      <c r="Y37" s="59">
        <v>4651</v>
      </c>
      <c r="Z37" s="70">
        <v>0.313809</v>
      </c>
      <c r="AA37" s="59">
        <v>2142</v>
      </c>
      <c r="AB37" s="59">
        <v>4637</v>
      </c>
      <c r="AC37" s="70">
        <v>0.31597500000000001</v>
      </c>
      <c r="AD37" s="59">
        <v>2159</v>
      </c>
      <c r="AE37" s="59">
        <v>4635</v>
      </c>
      <c r="AF37" s="70">
        <v>0.31778000000000001</v>
      </c>
    </row>
    <row r="38" spans="2:32" x14ac:dyDescent="0.2">
      <c r="B38" s="69" t="s">
        <v>24</v>
      </c>
      <c r="C38" s="59">
        <v>2376</v>
      </c>
      <c r="D38" s="59">
        <v>4767</v>
      </c>
      <c r="E38" s="70">
        <v>0.33263300000000001</v>
      </c>
      <c r="F38" s="59">
        <v>2367</v>
      </c>
      <c r="G38" s="59">
        <v>4765</v>
      </c>
      <c r="H38" s="70">
        <v>0.33188400000000001</v>
      </c>
      <c r="I38" s="59">
        <v>1979</v>
      </c>
      <c r="J38" s="59">
        <v>4733</v>
      </c>
      <c r="K38" s="70">
        <v>0.29484500000000002</v>
      </c>
      <c r="L38" s="59">
        <v>2133</v>
      </c>
      <c r="M38" s="59">
        <v>4417</v>
      </c>
      <c r="N38" s="70">
        <v>0.32564799999999999</v>
      </c>
      <c r="O38" s="59">
        <v>35</v>
      </c>
      <c r="P38" s="59">
        <v>6270</v>
      </c>
      <c r="Q38" s="70">
        <v>5.5510000000000004E-3</v>
      </c>
      <c r="R38" s="59">
        <v>1918</v>
      </c>
      <c r="S38" s="59">
        <v>4109</v>
      </c>
      <c r="T38" s="70">
        <v>0.31823400000000002</v>
      </c>
      <c r="U38" s="59">
        <v>1906</v>
      </c>
      <c r="V38" s="59">
        <v>4006</v>
      </c>
      <c r="W38" s="70">
        <v>0.32239499999999999</v>
      </c>
      <c r="X38" s="59">
        <v>1661</v>
      </c>
      <c r="Y38" s="59">
        <v>3924</v>
      </c>
      <c r="Z38" s="70">
        <v>0.29740299999999997</v>
      </c>
      <c r="AA38" s="59">
        <v>1771</v>
      </c>
      <c r="AB38" s="59">
        <v>3730</v>
      </c>
      <c r="AC38" s="70">
        <v>0.32194099999999998</v>
      </c>
      <c r="AD38" s="59">
        <v>1759</v>
      </c>
      <c r="AE38" s="59">
        <v>3527</v>
      </c>
      <c r="AF38" s="70">
        <v>0.33276499999999998</v>
      </c>
    </row>
    <row r="39" spans="2:32" x14ac:dyDescent="0.2">
      <c r="B39" s="69" t="s">
        <v>25</v>
      </c>
      <c r="C39" s="59">
        <v>2831</v>
      </c>
      <c r="D39" s="59">
        <v>5195</v>
      </c>
      <c r="E39" s="70">
        <v>0.35272799999999999</v>
      </c>
      <c r="F39" s="59">
        <v>2850</v>
      </c>
      <c r="G39" s="59">
        <v>5111</v>
      </c>
      <c r="H39" s="70">
        <v>0.35799500000000001</v>
      </c>
      <c r="I39" s="59">
        <v>2848</v>
      </c>
      <c r="J39" s="59">
        <v>5012</v>
      </c>
      <c r="K39" s="70">
        <v>0.36234</v>
      </c>
      <c r="L39" s="59">
        <v>2721</v>
      </c>
      <c r="M39" s="59">
        <v>4874</v>
      </c>
      <c r="N39" s="70">
        <v>0.35826200000000002</v>
      </c>
      <c r="O39" s="59">
        <v>2824</v>
      </c>
      <c r="P39" s="59">
        <v>4763</v>
      </c>
      <c r="Q39" s="70">
        <v>0.37221500000000002</v>
      </c>
      <c r="R39" s="59">
        <v>2811</v>
      </c>
      <c r="S39" s="59">
        <v>4772</v>
      </c>
      <c r="T39" s="70">
        <v>0.370697</v>
      </c>
      <c r="U39" s="59">
        <v>2745</v>
      </c>
      <c r="V39" s="59">
        <v>4919</v>
      </c>
      <c r="W39" s="70">
        <v>0.35816799999999999</v>
      </c>
      <c r="X39" s="59">
        <v>2724</v>
      </c>
      <c r="Y39" s="59">
        <v>4914</v>
      </c>
      <c r="Z39" s="70">
        <v>0.35663699999999998</v>
      </c>
      <c r="AA39" s="59">
        <v>2687</v>
      </c>
      <c r="AB39" s="59">
        <v>4851</v>
      </c>
      <c r="AC39" s="70">
        <v>0.35646</v>
      </c>
      <c r="AD39" s="59">
        <v>2723</v>
      </c>
      <c r="AE39" s="59">
        <v>4745</v>
      </c>
      <c r="AF39" s="70">
        <v>0.364622</v>
      </c>
    </row>
    <row r="40" spans="2:32" x14ac:dyDescent="0.2">
      <c r="B40" s="71" t="s">
        <v>26</v>
      </c>
      <c r="C40" s="62">
        <v>4382</v>
      </c>
      <c r="D40" s="62">
        <v>7850</v>
      </c>
      <c r="E40" s="72">
        <v>0.35824</v>
      </c>
      <c r="F40" s="62">
        <v>4705</v>
      </c>
      <c r="G40" s="62">
        <v>8129</v>
      </c>
      <c r="H40" s="72">
        <v>0.36660399999999999</v>
      </c>
      <c r="I40" s="62">
        <v>4781</v>
      </c>
      <c r="J40" s="62">
        <v>8516</v>
      </c>
      <c r="K40" s="72">
        <v>0.35955399999999998</v>
      </c>
      <c r="L40" s="62">
        <v>4843</v>
      </c>
      <c r="M40" s="62">
        <v>8868</v>
      </c>
      <c r="N40" s="72">
        <v>0.35321999999999998</v>
      </c>
      <c r="O40" s="62">
        <v>4963</v>
      </c>
      <c r="P40" s="62">
        <v>8881</v>
      </c>
      <c r="Q40" s="72">
        <v>0.35849399999999998</v>
      </c>
      <c r="R40" s="62">
        <v>5063</v>
      </c>
      <c r="S40" s="62">
        <v>9158</v>
      </c>
      <c r="T40" s="72">
        <v>0.35602200000000001</v>
      </c>
      <c r="U40" s="62">
        <v>5067</v>
      </c>
      <c r="V40" s="62">
        <v>9331</v>
      </c>
      <c r="W40" s="72">
        <v>0.35192299999999999</v>
      </c>
      <c r="X40" s="62">
        <v>5098</v>
      </c>
      <c r="Y40" s="62">
        <v>9383</v>
      </c>
      <c r="Z40" s="72">
        <v>0.352047</v>
      </c>
      <c r="AA40" s="62">
        <v>5091</v>
      </c>
      <c r="AB40" s="62">
        <v>9501</v>
      </c>
      <c r="AC40" s="72">
        <v>0.348889</v>
      </c>
      <c r="AD40" s="62">
        <v>5160</v>
      </c>
      <c r="AE40" s="62">
        <v>9477</v>
      </c>
      <c r="AF40" s="72">
        <v>0.35253099999999998</v>
      </c>
    </row>
    <row r="41" spans="2:32" x14ac:dyDescent="0.2">
      <c r="B41" s="20" t="s">
        <v>27</v>
      </c>
      <c r="C41" s="21">
        <f>SUBTOTAL(109,'On-Campus Enrollment Trend'!$C$27:$C$40)</f>
        <v>34816</v>
      </c>
      <c r="D41" s="21">
        <f>SUBTOTAL(109,'On-Campus Enrollment Trend'!$D$27:$D$40)</f>
        <v>68158</v>
      </c>
      <c r="E41" s="22">
        <f>'On-Campus Enrollment Trend'!$C$41 / ('On-Campus Enrollment Trend'!$D$41 + 'On-Campus Enrollment Trend'!$C$41)</f>
        <v>0.33810476430943731</v>
      </c>
      <c r="F41" s="21">
        <f>SUBTOTAL(109,'On-Campus Enrollment Trend'!$F$27:$F$40)</f>
        <v>35014</v>
      </c>
      <c r="G41" s="21">
        <f>SUBTOTAL(109,'On-Campus Enrollment Trend'!$G$27:$G$40)</f>
        <v>67886</v>
      </c>
      <c r="H41" s="22">
        <f>'On-Campus Enrollment Trend'!$F$41 / ('On-Campus Enrollment Trend'!$G$41 + 'On-Campus Enrollment Trend'!$F$41 )</f>
        <v>0.34027210884353742</v>
      </c>
      <c r="I41" s="21">
        <f>SUBTOTAL(109,'On-Campus Enrollment Trend'!$I$27:$I$40)</f>
        <v>33514</v>
      </c>
      <c r="J41" s="21">
        <f>SUBTOTAL(109,'On-Campus Enrollment Trend'!$J$27:$J$40)</f>
        <v>67053</v>
      </c>
      <c r="K41" s="22">
        <f>'On-Campus Enrollment Trend'!$I$41 / ('On-Campus Enrollment Trend'!$J$41 + 'On-Campus Enrollment Trend'!$I$41)</f>
        <v>0.33325046983602974</v>
      </c>
      <c r="L41" s="21">
        <f>SUBTOTAL(109,'On-Campus Enrollment Trend'!$L$27:$L$40)</f>
        <v>33320</v>
      </c>
      <c r="M41" s="21">
        <f>SUBTOTAL(109,'On-Campus Enrollment Trend'!$M$27:$M$40)</f>
        <v>65273</v>
      </c>
      <c r="N41" s="22">
        <f>'On-Campus Enrollment Trend'!$L$41 / ('On-Campus Enrollment Trend'!$M$41 + 'On-Campus Enrollment Trend'!$L$41)</f>
        <v>0.33795502723317072</v>
      </c>
      <c r="O41" s="21">
        <f>SUBTOTAL(109,'On-Campus Enrollment Trend'!$O$27:$O$40)</f>
        <v>31448</v>
      </c>
      <c r="P41" s="21">
        <f>SUBTOTAL(109,'On-Campus Enrollment Trend'!$P$27:$P$40)</f>
        <v>64558</v>
      </c>
      <c r="Q41" s="22">
        <f>'On-Campus Enrollment Trend'!$O$41 / ('On-Campus Enrollment Trend'!$P$41 +'On-Campus Enrollment Trend'!$O$41)</f>
        <v>0.32756286065454243</v>
      </c>
      <c r="R41" s="21">
        <f>SUBTOTAL(109,'On-Campus Enrollment Trend'!$R$27:$R$40)</f>
        <v>32229</v>
      </c>
      <c r="S41" s="21">
        <f>SUBTOTAL(109,'On-Campus Enrollment Trend'!$S$27:$S$40)</f>
        <v>60862</v>
      </c>
      <c r="T41" s="22">
        <f>'On-Campus Enrollment Trend'!$R$41 / ('On-Campus Enrollment Trend'!$S$41 +'On-Campus Enrollment Trend'!$R$41)</f>
        <v>0.34620962284216517</v>
      </c>
      <c r="U41" s="21">
        <f>SUBTOTAL(109,'On-Campus Enrollment Trend'!$U$27:$U$40)</f>
        <v>27800</v>
      </c>
      <c r="V41" s="21">
        <f>SUBTOTAL(109,'On-Campus Enrollment Trend'!$V$27:$V$40)</f>
        <v>62272</v>
      </c>
      <c r="W41" s="22">
        <f>'On-Campus Enrollment Trend'!$U$41 / ('On-Campus Enrollment Trend'!$V$41 +'On-Campus Enrollment Trend'!$U$41)</f>
        <v>0.30864197530864196</v>
      </c>
      <c r="X41" s="21">
        <f>SUBTOTAL(109,'On-Campus Enrollment Trend'!$X$27:$X$40)</f>
        <v>29352</v>
      </c>
      <c r="Y41" s="21">
        <f>SUBTOTAL(109,'On-Campus Enrollment Trend'!$Y$27:$Y$40)</f>
        <v>57890</v>
      </c>
      <c r="Z41" s="22">
        <f>'On-Campus Enrollment Trend'!$X$41 / ('On-Campus Enrollment Trend'!$Y$41 +'On-Campus Enrollment Trend'!$X$41)</f>
        <v>0.33644345613351367</v>
      </c>
      <c r="AA41" s="21">
        <f>SUBTOTAL(109,'On-Campus Enrollment Trend'!$AA$27:$AA$40)</f>
        <v>27647</v>
      </c>
      <c r="AB41" s="21">
        <f>SUBTOTAL(109,'On-Campus Enrollment Trend'!$AB$27:$AB$40)</f>
        <v>55427</v>
      </c>
      <c r="AC41" s="22">
        <f>'On-Campus Enrollment Trend'!$AA$41 / ('On-Campus Enrollment Trend'!$AB$41 +'On-Campus Enrollment Trend'!$AA$41)</f>
        <v>0.33279967258107229</v>
      </c>
      <c r="AD41" s="21">
        <f>SUBTOTAL(109,'On-Campus Enrollment Trend'!$AD$27:$AD$40)</f>
        <v>27360</v>
      </c>
      <c r="AE41" s="21">
        <f>SUBTOTAL(109,'On-Campus Enrollment Trend'!$AE$27:$AE$40)</f>
        <v>53066</v>
      </c>
      <c r="AF41" s="22">
        <f>'On-Campus Enrollment Trend'!$AD$41 / ('On-Campus Enrollment Trend'!$AE$41 +'On-Campus Enrollment Trend'!$AD$41)</f>
        <v>0.3401884962574292</v>
      </c>
    </row>
    <row r="44" spans="2:32" ht="15" x14ac:dyDescent="0.2">
      <c r="B44" s="131" t="s">
        <v>275</v>
      </c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</row>
    <row r="45" spans="2:32" x14ac:dyDescent="0.2">
      <c r="B45" s="134" t="s">
        <v>1</v>
      </c>
      <c r="C45" s="133" t="str">
        <f>CONCATENATE(IF(RIGHT(Parameters!B1,1) = "1","Fall ", "Spring "),IF(RIGHT(Parameters!B1,1) = "1",LEFT(Parameters!B1,4) -9, LEFT(Parameters!B1,4) - 8))</f>
        <v>Fall 2010</v>
      </c>
      <c r="D45" s="133"/>
      <c r="E45" s="133"/>
      <c r="F45" s="133" t="str">
        <f>CONCATENATE(IF(RIGHT(Parameters!B1,1) = "1","Fall ", "Spring "),IF(RIGHT(Parameters!B1,1) = "1",LEFT(Parameters!B1,4) -8, LEFT(Parameters!B1,4) - 7))</f>
        <v>Fall 2011</v>
      </c>
      <c r="G45" s="133"/>
      <c r="H45" s="133"/>
      <c r="I45" s="133" t="str">
        <f>CONCATENATE(IF(RIGHT(Parameters!B1,1) = "1","Fall ", "Spring "),IF(RIGHT(Parameters!B1,1) = "1",LEFT(Parameters!B1,4) -7, LEFT(Parameters!B1,4) - 6))</f>
        <v>Fall 2012</v>
      </c>
      <c r="J45" s="133"/>
      <c r="K45" s="133"/>
      <c r="L45" s="133" t="str">
        <f>CONCATENATE(IF(RIGHT(Parameters!B1,1) = "1","Fall ", "Spring "),IF(RIGHT(Parameters!B1,1) = "1",LEFT(Parameters!B1,4) -6, LEFT(Parameters!B1,4) - 5))</f>
        <v>Fall 2013</v>
      </c>
      <c r="M45" s="133"/>
      <c r="N45" s="133"/>
      <c r="O45" s="133" t="str">
        <f>CONCATENATE(IF(RIGHT(Parameters!B1,1) = "1","Fall ", "Spring "),IF(RIGHT(Parameters!B1,1) = "1",LEFT(Parameters!B1,4) -5, LEFT(Parameters!B1,4) - 4))</f>
        <v>Fall 2014</v>
      </c>
      <c r="P45" s="133"/>
      <c r="Q45" s="133"/>
      <c r="R45" s="133" t="str">
        <f>CONCATENATE(IF(RIGHT(Parameters!B1,1) = "1","Fall ", "Spring "),IF(RIGHT(Parameters!B1,1) = "1",LEFT(Parameters!B1,4) -4, LEFT(Parameters!B1,4) - 3))</f>
        <v>Fall 2015</v>
      </c>
      <c r="S45" s="133"/>
      <c r="T45" s="133"/>
      <c r="U45" s="133" t="str">
        <f>CONCATENATE(IF(RIGHT(Parameters!B1,1) = "1","Fall ", "Spring "),IF(RIGHT(Parameters!B1,1) = "1",LEFT(Parameters!B1,4) -3, LEFT(Parameters!B1,4) -2 ))</f>
        <v>Fall 2016</v>
      </c>
      <c r="V45" s="133"/>
      <c r="W45" s="133"/>
      <c r="X45" s="133" t="str">
        <f>CONCATENATE(IF(RIGHT(Parameters!B1,1) = "1","Fall ", "Spring "),IF(RIGHT(Parameters!B1,1) = "1",LEFT(Parameters!B1,4) -2, LEFT(Parameters!B1,4) -1 ))</f>
        <v>Fall 2017</v>
      </c>
      <c r="Y45" s="133"/>
      <c r="Z45" s="133"/>
      <c r="AA45" s="133" t="str">
        <f>CONCATENATE(IF(RIGHT(Parameters!B1,1) = "1","Fall ", "Spring "),IF(RIGHT(Parameters!B1,1) = "1",LEFT(Parameters!B1,4) -1, LEFT(Parameters!B1,4)  ))</f>
        <v>Fall 2018</v>
      </c>
      <c r="AB45" s="133"/>
      <c r="AC45" s="133"/>
      <c r="AD45" s="133" t="str">
        <f>CONCATENATE(IF(RIGHT(Parameters!B1,1) = "1","Fall ", "Spring "),IF(RIGHT(Parameters!B1,1) = "1",LEFT(Parameters!B1,4), LEFT(Parameters!B1,4) + 1))</f>
        <v>Fall 2019</v>
      </c>
      <c r="AE45" s="133"/>
      <c r="AF45" s="133"/>
    </row>
    <row r="46" spans="2:32" ht="42.75" x14ac:dyDescent="0.2">
      <c r="B46" s="135"/>
      <c r="C46" s="54" t="s">
        <v>271</v>
      </c>
      <c r="D46" s="54" t="s">
        <v>272</v>
      </c>
      <c r="E46" s="54" t="s">
        <v>273</v>
      </c>
      <c r="F46" s="54" t="s">
        <v>271</v>
      </c>
      <c r="G46" s="54" t="s">
        <v>272</v>
      </c>
      <c r="H46" s="54" t="s">
        <v>273</v>
      </c>
      <c r="I46" s="54" t="s">
        <v>271</v>
      </c>
      <c r="J46" s="54" t="s">
        <v>272</v>
      </c>
      <c r="K46" s="54" t="s">
        <v>273</v>
      </c>
      <c r="L46" s="54" t="s">
        <v>271</v>
      </c>
      <c r="M46" s="54" t="s">
        <v>272</v>
      </c>
      <c r="N46" s="54" t="s">
        <v>273</v>
      </c>
      <c r="O46" s="54" t="s">
        <v>271</v>
      </c>
      <c r="P46" s="54" t="s">
        <v>272</v>
      </c>
      <c r="Q46" s="54" t="s">
        <v>273</v>
      </c>
      <c r="R46" s="54" t="s">
        <v>271</v>
      </c>
      <c r="S46" s="54" t="s">
        <v>272</v>
      </c>
      <c r="T46" s="54" t="s">
        <v>273</v>
      </c>
      <c r="U46" s="54" t="s">
        <v>271</v>
      </c>
      <c r="V46" s="54" t="s">
        <v>272</v>
      </c>
      <c r="W46" s="54" t="s">
        <v>273</v>
      </c>
      <c r="X46" s="54" t="s">
        <v>271</v>
      </c>
      <c r="Y46" s="54" t="s">
        <v>272</v>
      </c>
      <c r="Z46" s="54" t="s">
        <v>273</v>
      </c>
      <c r="AA46" s="54" t="s">
        <v>271</v>
      </c>
      <c r="AB46" s="54" t="s">
        <v>272</v>
      </c>
      <c r="AC46" s="54" t="s">
        <v>273</v>
      </c>
      <c r="AD46" s="54" t="s">
        <v>271</v>
      </c>
      <c r="AE46" s="54" t="s">
        <v>272</v>
      </c>
      <c r="AF46" s="54" t="s">
        <v>273</v>
      </c>
    </row>
    <row r="47" spans="2:32" ht="17.25" hidden="1" customHeight="1" thickBot="1" x14ac:dyDescent="0.25">
      <c r="B47" s="26" t="s">
        <v>2</v>
      </c>
      <c r="C47" s="26" t="s">
        <v>84</v>
      </c>
      <c r="D47" s="26" t="s">
        <v>85</v>
      </c>
      <c r="E47" s="26" t="s">
        <v>86</v>
      </c>
      <c r="F47" s="26" t="s">
        <v>87</v>
      </c>
      <c r="G47" s="26" t="s">
        <v>88</v>
      </c>
      <c r="H47" s="26" t="s">
        <v>89</v>
      </c>
      <c r="I47" s="26" t="s">
        <v>90</v>
      </c>
      <c r="J47" s="26" t="s">
        <v>91</v>
      </c>
      <c r="K47" s="26" t="s">
        <v>92</v>
      </c>
      <c r="L47" s="26" t="s">
        <v>93</v>
      </c>
      <c r="M47" s="26" t="s">
        <v>94</v>
      </c>
      <c r="N47" s="26" t="s">
        <v>95</v>
      </c>
      <c r="O47" s="26" t="s">
        <v>96</v>
      </c>
      <c r="P47" s="26" t="s">
        <v>97</v>
      </c>
      <c r="Q47" s="26" t="s">
        <v>98</v>
      </c>
      <c r="R47" s="26" t="s">
        <v>99</v>
      </c>
      <c r="S47" s="26" t="s">
        <v>100</v>
      </c>
      <c r="T47" s="26" t="s">
        <v>101</v>
      </c>
      <c r="U47" s="26" t="s">
        <v>102</v>
      </c>
      <c r="V47" s="26" t="s">
        <v>103</v>
      </c>
      <c r="W47" s="26" t="s">
        <v>104</v>
      </c>
      <c r="X47" s="26" t="s">
        <v>105</v>
      </c>
      <c r="Y47" s="26" t="s">
        <v>106</v>
      </c>
      <c r="Z47" s="26" t="s">
        <v>107</v>
      </c>
      <c r="AA47" s="26" t="s">
        <v>108</v>
      </c>
      <c r="AB47" s="26" t="s">
        <v>109</v>
      </c>
      <c r="AC47" s="26" t="s">
        <v>110</v>
      </c>
      <c r="AD47" s="26" t="s">
        <v>111</v>
      </c>
      <c r="AE47" s="26" t="s">
        <v>112</v>
      </c>
      <c r="AF47" s="26" t="s">
        <v>113</v>
      </c>
    </row>
    <row r="48" spans="2:32" x14ac:dyDescent="0.2">
      <c r="B48" s="67" t="s">
        <v>13</v>
      </c>
      <c r="C48" s="57">
        <v>13</v>
      </c>
      <c r="D48" s="57">
        <v>942</v>
      </c>
      <c r="E48" s="68">
        <v>1.3612000000000001E-2</v>
      </c>
      <c r="F48" s="57">
        <v>15</v>
      </c>
      <c r="G48" s="57">
        <v>888</v>
      </c>
      <c r="H48" s="68">
        <v>1.6611000000000001E-2</v>
      </c>
      <c r="I48" s="57">
        <v>16</v>
      </c>
      <c r="J48" s="57">
        <v>731</v>
      </c>
      <c r="K48" s="68">
        <v>2.1419000000000001E-2</v>
      </c>
      <c r="L48" s="57">
        <v>14</v>
      </c>
      <c r="M48" s="57">
        <v>697</v>
      </c>
      <c r="N48" s="68">
        <v>1.9689999999999999E-2</v>
      </c>
      <c r="O48" s="57">
        <v>14</v>
      </c>
      <c r="P48" s="57">
        <v>665</v>
      </c>
      <c r="Q48" s="68">
        <v>2.0618000000000001E-2</v>
      </c>
      <c r="R48" s="57">
        <v>15</v>
      </c>
      <c r="S48" s="57">
        <v>604</v>
      </c>
      <c r="T48" s="68">
        <v>2.4232E-2</v>
      </c>
      <c r="U48" s="57">
        <v>17</v>
      </c>
      <c r="V48" s="57">
        <v>646</v>
      </c>
      <c r="W48" s="68">
        <v>2.5641000000000001E-2</v>
      </c>
      <c r="X48" s="57">
        <v>15</v>
      </c>
      <c r="Y48" s="57">
        <v>666</v>
      </c>
      <c r="Z48" s="68">
        <v>2.2026E-2</v>
      </c>
      <c r="AA48" s="57">
        <v>16</v>
      </c>
      <c r="AB48" s="57">
        <v>655</v>
      </c>
      <c r="AC48" s="68">
        <v>2.3845000000000002E-2</v>
      </c>
      <c r="AD48" s="57">
        <v>17</v>
      </c>
      <c r="AE48" s="57">
        <v>680</v>
      </c>
      <c r="AF48" s="68">
        <v>2.4389999999999998E-2</v>
      </c>
    </row>
    <row r="49" spans="2:32" x14ac:dyDescent="0.2">
      <c r="B49" s="69" t="s">
        <v>14</v>
      </c>
      <c r="C49" s="59">
        <v>3</v>
      </c>
      <c r="D49" s="59">
        <v>1978</v>
      </c>
      <c r="E49" s="70">
        <v>1.5139999999999999E-3</v>
      </c>
      <c r="F49" s="59">
        <v>2</v>
      </c>
      <c r="G49" s="59">
        <v>2064</v>
      </c>
      <c r="H49" s="70">
        <v>9.68E-4</v>
      </c>
      <c r="I49" s="59">
        <v>3</v>
      </c>
      <c r="J49" s="59">
        <v>1924</v>
      </c>
      <c r="K49" s="70">
        <v>1.5560000000000001E-3</v>
      </c>
      <c r="L49" s="59">
        <v>1</v>
      </c>
      <c r="M49" s="59">
        <v>1792</v>
      </c>
      <c r="N49" s="70">
        <v>5.5699999999999999E-4</v>
      </c>
      <c r="O49" s="59">
        <v>3</v>
      </c>
      <c r="P49" s="59">
        <v>1899</v>
      </c>
      <c r="Q49" s="70">
        <v>1.5770000000000001E-3</v>
      </c>
      <c r="R49" s="59">
        <v>4</v>
      </c>
      <c r="S49" s="59">
        <v>2065</v>
      </c>
      <c r="T49" s="70">
        <v>1.933E-3</v>
      </c>
      <c r="U49" s="59">
        <v>3</v>
      </c>
      <c r="V49" s="59">
        <v>2028</v>
      </c>
      <c r="W49" s="70">
        <v>1.477E-3</v>
      </c>
      <c r="X49" s="59">
        <v>7</v>
      </c>
      <c r="Y49" s="59">
        <v>2224</v>
      </c>
      <c r="Z49" s="70">
        <v>3.137E-3</v>
      </c>
      <c r="AA49" s="59">
        <v>4</v>
      </c>
      <c r="AB49" s="59">
        <v>2134</v>
      </c>
      <c r="AC49" s="70">
        <v>1.8699999999999999E-3</v>
      </c>
      <c r="AD49" s="59">
        <v>5</v>
      </c>
      <c r="AE49" s="59">
        <v>1981</v>
      </c>
      <c r="AF49" s="70">
        <v>2.5170000000000001E-3</v>
      </c>
    </row>
    <row r="50" spans="2:32" x14ac:dyDescent="0.2">
      <c r="B50" s="69" t="s">
        <v>15</v>
      </c>
      <c r="C50" s="59">
        <v>2</v>
      </c>
      <c r="D50" s="59">
        <v>76</v>
      </c>
      <c r="E50" s="70">
        <v>2.5641000000000001E-2</v>
      </c>
      <c r="F50" s="59">
        <v>0</v>
      </c>
      <c r="G50" s="59">
        <v>59</v>
      </c>
      <c r="H50" s="70">
        <v>0</v>
      </c>
      <c r="I50" s="59">
        <v>1</v>
      </c>
      <c r="J50" s="59">
        <v>59</v>
      </c>
      <c r="K50" s="70">
        <v>1.6666E-2</v>
      </c>
      <c r="L50" s="59">
        <v>1</v>
      </c>
      <c r="M50" s="59">
        <v>32</v>
      </c>
      <c r="N50" s="70">
        <v>3.0303E-2</v>
      </c>
      <c r="O50" s="59">
        <v>2</v>
      </c>
      <c r="P50" s="59">
        <v>23</v>
      </c>
      <c r="Q50" s="70">
        <v>7.9999000000000001E-2</v>
      </c>
      <c r="R50" s="59">
        <v>1</v>
      </c>
      <c r="S50" s="59">
        <v>24</v>
      </c>
      <c r="T50" s="70">
        <v>3.9999E-2</v>
      </c>
      <c r="U50" s="59">
        <v>1</v>
      </c>
      <c r="V50" s="59">
        <v>36</v>
      </c>
      <c r="W50" s="70">
        <v>2.7026999999999999E-2</v>
      </c>
      <c r="X50" s="59">
        <v>0</v>
      </c>
      <c r="Y50" s="59">
        <v>32</v>
      </c>
      <c r="Z50" s="70">
        <v>0</v>
      </c>
      <c r="AA50" s="59">
        <v>0</v>
      </c>
      <c r="AB50" s="59">
        <v>0</v>
      </c>
      <c r="AC50" s="70">
        <v>0</v>
      </c>
      <c r="AD50" s="59">
        <v>0</v>
      </c>
      <c r="AE50" s="59">
        <v>0</v>
      </c>
      <c r="AF50" s="70">
        <v>0</v>
      </c>
    </row>
    <row r="51" spans="2:32" x14ac:dyDescent="0.2">
      <c r="B51" s="69" t="s">
        <v>16</v>
      </c>
      <c r="C51" s="59">
        <v>4</v>
      </c>
      <c r="D51" s="59">
        <v>1086</v>
      </c>
      <c r="E51" s="70">
        <v>3.669E-3</v>
      </c>
      <c r="F51" s="59">
        <v>13</v>
      </c>
      <c r="G51" s="59">
        <v>1102</v>
      </c>
      <c r="H51" s="70">
        <v>1.1658999999999999E-2</v>
      </c>
      <c r="I51" s="59">
        <v>10</v>
      </c>
      <c r="J51" s="59">
        <v>992</v>
      </c>
      <c r="K51" s="70">
        <v>9.9799999999999993E-3</v>
      </c>
      <c r="L51" s="59">
        <v>7</v>
      </c>
      <c r="M51" s="59">
        <v>874</v>
      </c>
      <c r="N51" s="70">
        <v>7.9450000000000007E-3</v>
      </c>
      <c r="O51" s="59">
        <v>15</v>
      </c>
      <c r="P51" s="59">
        <v>791</v>
      </c>
      <c r="Q51" s="70">
        <v>1.8610000000000002E-2</v>
      </c>
      <c r="R51" s="59">
        <v>13</v>
      </c>
      <c r="S51" s="59">
        <v>800</v>
      </c>
      <c r="T51" s="70">
        <v>1.5990000000000001E-2</v>
      </c>
      <c r="U51" s="59">
        <v>7</v>
      </c>
      <c r="V51" s="59">
        <v>887</v>
      </c>
      <c r="W51" s="70">
        <v>7.8289999999999992E-3</v>
      </c>
      <c r="X51" s="59">
        <v>13</v>
      </c>
      <c r="Y51" s="59">
        <v>891</v>
      </c>
      <c r="Z51" s="70">
        <v>1.438E-2</v>
      </c>
      <c r="AA51" s="59">
        <v>2</v>
      </c>
      <c r="AB51" s="59">
        <v>925</v>
      </c>
      <c r="AC51" s="70">
        <v>2.1570000000000001E-3</v>
      </c>
      <c r="AD51" s="59">
        <v>4</v>
      </c>
      <c r="AE51" s="59">
        <v>923</v>
      </c>
      <c r="AF51" s="70">
        <v>4.3140000000000001E-3</v>
      </c>
    </row>
    <row r="52" spans="2:32" x14ac:dyDescent="0.2">
      <c r="B52" s="69" t="s">
        <v>17</v>
      </c>
      <c r="C52" s="59">
        <v>25</v>
      </c>
      <c r="D52" s="59">
        <v>990</v>
      </c>
      <c r="E52" s="70">
        <v>2.4629999999999999E-2</v>
      </c>
      <c r="F52" s="59">
        <v>31</v>
      </c>
      <c r="G52" s="59">
        <v>666</v>
      </c>
      <c r="H52" s="70">
        <v>4.4476000000000002E-2</v>
      </c>
      <c r="I52" s="59">
        <v>32</v>
      </c>
      <c r="J52" s="59">
        <v>556</v>
      </c>
      <c r="K52" s="70">
        <v>5.4420999999999997E-2</v>
      </c>
      <c r="L52" s="59">
        <v>22</v>
      </c>
      <c r="M52" s="59">
        <v>570</v>
      </c>
      <c r="N52" s="70">
        <v>3.7162000000000001E-2</v>
      </c>
      <c r="O52" s="59">
        <v>26</v>
      </c>
      <c r="P52" s="59">
        <v>590</v>
      </c>
      <c r="Q52" s="70">
        <v>4.2207000000000001E-2</v>
      </c>
      <c r="R52" s="59">
        <v>20</v>
      </c>
      <c r="S52" s="59">
        <v>641</v>
      </c>
      <c r="T52" s="70">
        <v>3.0256999999999999E-2</v>
      </c>
      <c r="U52" s="59">
        <v>0</v>
      </c>
      <c r="V52" s="59">
        <v>671</v>
      </c>
      <c r="W52" s="70">
        <v>0</v>
      </c>
      <c r="X52" s="59">
        <v>25</v>
      </c>
      <c r="Y52" s="59">
        <v>666</v>
      </c>
      <c r="Z52" s="70">
        <v>3.6179000000000003E-2</v>
      </c>
      <c r="AA52" s="59">
        <v>30</v>
      </c>
      <c r="AB52" s="59">
        <v>682</v>
      </c>
      <c r="AC52" s="70">
        <v>4.2133999999999998E-2</v>
      </c>
      <c r="AD52" s="59">
        <v>24</v>
      </c>
      <c r="AE52" s="59">
        <v>773</v>
      </c>
      <c r="AF52" s="70">
        <v>3.0112E-2</v>
      </c>
    </row>
    <row r="53" spans="2:32" x14ac:dyDescent="0.2">
      <c r="B53" s="69" t="s">
        <v>18</v>
      </c>
      <c r="C53" s="59">
        <v>16</v>
      </c>
      <c r="D53" s="59">
        <v>1929</v>
      </c>
      <c r="E53" s="70">
        <v>8.2260000000000007E-3</v>
      </c>
      <c r="F53" s="59">
        <v>18</v>
      </c>
      <c r="G53" s="59">
        <v>1595</v>
      </c>
      <c r="H53" s="70">
        <v>1.1159000000000001E-2</v>
      </c>
      <c r="I53" s="59">
        <v>20</v>
      </c>
      <c r="J53" s="59">
        <v>1352</v>
      </c>
      <c r="K53" s="70">
        <v>1.4577E-2</v>
      </c>
      <c r="L53" s="59">
        <v>17</v>
      </c>
      <c r="M53" s="59">
        <v>1217</v>
      </c>
      <c r="N53" s="70">
        <v>1.3776E-2</v>
      </c>
      <c r="O53" s="59">
        <v>18</v>
      </c>
      <c r="P53" s="59">
        <v>1224</v>
      </c>
      <c r="Q53" s="70">
        <v>1.4492E-2</v>
      </c>
      <c r="R53" s="59">
        <v>21</v>
      </c>
      <c r="S53" s="59">
        <v>1282</v>
      </c>
      <c r="T53" s="70">
        <v>1.6115999999999998E-2</v>
      </c>
      <c r="U53" s="59">
        <v>22</v>
      </c>
      <c r="V53" s="59">
        <v>1319</v>
      </c>
      <c r="W53" s="70">
        <v>1.6404999999999999E-2</v>
      </c>
      <c r="X53" s="59">
        <v>18</v>
      </c>
      <c r="Y53" s="59">
        <v>1266</v>
      </c>
      <c r="Z53" s="70">
        <v>1.4017999999999999E-2</v>
      </c>
      <c r="AA53" s="59">
        <v>15</v>
      </c>
      <c r="AB53" s="59">
        <v>1247</v>
      </c>
      <c r="AC53" s="70">
        <v>1.1885E-2</v>
      </c>
      <c r="AD53" s="59">
        <v>7</v>
      </c>
      <c r="AE53" s="59">
        <v>1240</v>
      </c>
      <c r="AF53" s="70">
        <v>5.6129999999999999E-3</v>
      </c>
    </row>
    <row r="54" spans="2:32" x14ac:dyDescent="0.2">
      <c r="B54" s="69" t="s">
        <v>19</v>
      </c>
      <c r="C54" s="59">
        <v>47</v>
      </c>
      <c r="D54" s="59">
        <v>2252</v>
      </c>
      <c r="E54" s="70">
        <v>2.0442999999999999E-2</v>
      </c>
      <c r="F54" s="59">
        <v>45</v>
      </c>
      <c r="G54" s="59">
        <v>2144</v>
      </c>
      <c r="H54" s="70">
        <v>2.0556999999999999E-2</v>
      </c>
      <c r="I54" s="59">
        <v>31</v>
      </c>
      <c r="J54" s="59">
        <v>2290</v>
      </c>
      <c r="K54" s="70">
        <v>1.3356E-2</v>
      </c>
      <c r="L54" s="59">
        <v>24</v>
      </c>
      <c r="M54" s="59">
        <v>2233</v>
      </c>
      <c r="N54" s="70">
        <v>1.0633E-2</v>
      </c>
      <c r="O54" s="59">
        <v>22</v>
      </c>
      <c r="P54" s="59">
        <v>2217</v>
      </c>
      <c r="Q54" s="70">
        <v>9.8250000000000004E-3</v>
      </c>
      <c r="R54" s="59">
        <v>23</v>
      </c>
      <c r="S54" s="59">
        <v>2215</v>
      </c>
      <c r="T54" s="70">
        <v>1.0277E-2</v>
      </c>
      <c r="U54" s="59">
        <v>8</v>
      </c>
      <c r="V54" s="59">
        <v>2227</v>
      </c>
      <c r="W54" s="70">
        <v>3.5790000000000001E-3</v>
      </c>
      <c r="X54" s="59">
        <v>13</v>
      </c>
      <c r="Y54" s="59">
        <v>2160</v>
      </c>
      <c r="Z54" s="70">
        <v>5.9820000000000003E-3</v>
      </c>
      <c r="AA54" s="59">
        <v>4</v>
      </c>
      <c r="AB54" s="59">
        <v>2106</v>
      </c>
      <c r="AC54" s="70">
        <v>1.895E-3</v>
      </c>
      <c r="AD54" s="59">
        <v>11</v>
      </c>
      <c r="AE54" s="59">
        <v>2058</v>
      </c>
      <c r="AF54" s="70">
        <v>5.3160000000000004E-3</v>
      </c>
    </row>
    <row r="55" spans="2:32" x14ac:dyDescent="0.2">
      <c r="B55" s="69" t="s">
        <v>20</v>
      </c>
      <c r="C55" s="59">
        <v>12</v>
      </c>
      <c r="D55" s="59">
        <v>970</v>
      </c>
      <c r="E55" s="70">
        <v>1.2219000000000001E-2</v>
      </c>
      <c r="F55" s="59">
        <v>10</v>
      </c>
      <c r="G55" s="59">
        <v>787</v>
      </c>
      <c r="H55" s="70">
        <v>1.2547000000000001E-2</v>
      </c>
      <c r="I55" s="59">
        <v>7</v>
      </c>
      <c r="J55" s="59">
        <v>662</v>
      </c>
      <c r="K55" s="70">
        <v>1.0463E-2</v>
      </c>
      <c r="L55" s="59">
        <v>7</v>
      </c>
      <c r="M55" s="59">
        <v>691</v>
      </c>
      <c r="N55" s="70">
        <v>1.0028E-2</v>
      </c>
      <c r="O55" s="59">
        <v>3</v>
      </c>
      <c r="P55" s="59">
        <v>653</v>
      </c>
      <c r="Q55" s="70">
        <v>4.5729999999999998E-3</v>
      </c>
      <c r="R55" s="59">
        <v>9</v>
      </c>
      <c r="S55" s="59">
        <v>698</v>
      </c>
      <c r="T55" s="70">
        <v>1.2729000000000001E-2</v>
      </c>
      <c r="U55" s="59">
        <v>12</v>
      </c>
      <c r="V55" s="59">
        <v>783</v>
      </c>
      <c r="W55" s="70">
        <v>1.5094E-2</v>
      </c>
      <c r="X55" s="59">
        <v>6</v>
      </c>
      <c r="Y55" s="59">
        <v>834</v>
      </c>
      <c r="Z55" s="70">
        <v>7.1419999999999999E-3</v>
      </c>
      <c r="AA55" s="59">
        <v>5</v>
      </c>
      <c r="AB55" s="59">
        <v>913</v>
      </c>
      <c r="AC55" s="70">
        <v>5.4460000000000003E-3</v>
      </c>
      <c r="AD55" s="59">
        <v>9</v>
      </c>
      <c r="AE55" s="59">
        <v>986</v>
      </c>
      <c r="AF55" s="70">
        <v>9.0449999999999992E-3</v>
      </c>
    </row>
    <row r="56" spans="2:32" x14ac:dyDescent="0.2">
      <c r="B56" s="69" t="s">
        <v>21</v>
      </c>
      <c r="C56" s="59">
        <v>0</v>
      </c>
      <c r="D56" s="59">
        <v>336</v>
      </c>
      <c r="E56" s="70">
        <v>0</v>
      </c>
      <c r="F56" s="59">
        <v>0</v>
      </c>
      <c r="G56" s="59">
        <v>337</v>
      </c>
      <c r="H56" s="70">
        <v>0</v>
      </c>
      <c r="I56" s="59">
        <v>1</v>
      </c>
      <c r="J56" s="59">
        <v>358</v>
      </c>
      <c r="K56" s="70">
        <v>2.7850000000000001E-3</v>
      </c>
      <c r="L56" s="59">
        <v>0</v>
      </c>
      <c r="M56" s="59">
        <v>405</v>
      </c>
      <c r="N56" s="70">
        <v>0</v>
      </c>
      <c r="O56" s="59">
        <v>0</v>
      </c>
      <c r="P56" s="59">
        <v>396</v>
      </c>
      <c r="Q56" s="70">
        <v>0</v>
      </c>
      <c r="R56" s="59">
        <v>0</v>
      </c>
      <c r="S56" s="59">
        <v>387</v>
      </c>
      <c r="T56" s="70">
        <v>0</v>
      </c>
      <c r="U56" s="59">
        <v>0</v>
      </c>
      <c r="V56" s="59">
        <v>375</v>
      </c>
      <c r="W56" s="70">
        <v>0</v>
      </c>
      <c r="X56" s="59">
        <v>0</v>
      </c>
      <c r="Y56" s="59">
        <v>355</v>
      </c>
      <c r="Z56" s="70">
        <v>0</v>
      </c>
      <c r="AA56" s="59">
        <v>2</v>
      </c>
      <c r="AB56" s="59">
        <v>356</v>
      </c>
      <c r="AC56" s="70">
        <v>5.5859999999999998E-3</v>
      </c>
      <c r="AD56" s="59">
        <v>2</v>
      </c>
      <c r="AE56" s="59">
        <v>408</v>
      </c>
      <c r="AF56" s="70">
        <v>4.8780000000000004E-3</v>
      </c>
    </row>
    <row r="57" spans="2:32" x14ac:dyDescent="0.2">
      <c r="B57" s="69" t="s">
        <v>22</v>
      </c>
      <c r="C57" s="59">
        <v>1</v>
      </c>
      <c r="D57" s="59">
        <v>465</v>
      </c>
      <c r="E57" s="70">
        <v>2.1450000000000002E-3</v>
      </c>
      <c r="F57" s="59">
        <v>2</v>
      </c>
      <c r="G57" s="59">
        <v>397</v>
      </c>
      <c r="H57" s="70">
        <v>5.012E-3</v>
      </c>
      <c r="I57" s="59">
        <v>1</v>
      </c>
      <c r="J57" s="59">
        <v>306</v>
      </c>
      <c r="K57" s="70">
        <v>3.2569999999999999E-3</v>
      </c>
      <c r="L57" s="59">
        <v>0</v>
      </c>
      <c r="M57" s="59">
        <v>253</v>
      </c>
      <c r="N57" s="70">
        <v>0</v>
      </c>
      <c r="O57" s="59">
        <v>0</v>
      </c>
      <c r="P57" s="59">
        <v>165</v>
      </c>
      <c r="Q57" s="70">
        <v>0</v>
      </c>
      <c r="R57" s="59">
        <v>1</v>
      </c>
      <c r="S57" s="59">
        <v>120</v>
      </c>
      <c r="T57" s="70">
        <v>8.2640000000000005E-3</v>
      </c>
      <c r="U57" s="59">
        <v>0</v>
      </c>
      <c r="V57" s="59">
        <v>86</v>
      </c>
      <c r="W57" s="70">
        <v>0</v>
      </c>
      <c r="X57" s="59">
        <v>0</v>
      </c>
      <c r="Y57" s="59">
        <v>61</v>
      </c>
      <c r="Z57" s="70">
        <v>0</v>
      </c>
      <c r="AA57" s="59">
        <v>0</v>
      </c>
      <c r="AB57" s="59">
        <v>38</v>
      </c>
      <c r="AC57" s="70">
        <v>0</v>
      </c>
      <c r="AD57" s="59">
        <v>0</v>
      </c>
      <c r="AE57" s="59">
        <v>23</v>
      </c>
      <c r="AF57" s="70">
        <v>0</v>
      </c>
    </row>
    <row r="58" spans="2:32" x14ac:dyDescent="0.2">
      <c r="B58" s="69" t="s">
        <v>23</v>
      </c>
      <c r="C58" s="59">
        <v>1</v>
      </c>
      <c r="D58" s="59">
        <v>1124</v>
      </c>
      <c r="E58" s="70">
        <v>8.8800000000000001E-4</v>
      </c>
      <c r="F58" s="59">
        <v>0</v>
      </c>
      <c r="G58" s="59">
        <v>1081</v>
      </c>
      <c r="H58" s="70">
        <v>0</v>
      </c>
      <c r="I58" s="59">
        <v>0</v>
      </c>
      <c r="J58" s="59">
        <v>944</v>
      </c>
      <c r="K58" s="70">
        <v>0</v>
      </c>
      <c r="L58" s="59">
        <v>1</v>
      </c>
      <c r="M58" s="59">
        <v>890</v>
      </c>
      <c r="N58" s="70">
        <v>1.122E-3</v>
      </c>
      <c r="O58" s="59">
        <v>2</v>
      </c>
      <c r="P58" s="59">
        <v>874</v>
      </c>
      <c r="Q58" s="70">
        <v>2.2829999999999999E-3</v>
      </c>
      <c r="R58" s="59">
        <v>9</v>
      </c>
      <c r="S58" s="59">
        <v>895</v>
      </c>
      <c r="T58" s="70">
        <v>9.9550000000000003E-3</v>
      </c>
      <c r="U58" s="59">
        <v>9</v>
      </c>
      <c r="V58" s="59">
        <v>938</v>
      </c>
      <c r="W58" s="70">
        <v>9.5029999999999993E-3</v>
      </c>
      <c r="X58" s="59">
        <v>4</v>
      </c>
      <c r="Y58" s="59">
        <v>966</v>
      </c>
      <c r="Z58" s="70">
        <v>4.1229999999999999E-3</v>
      </c>
      <c r="AA58" s="59">
        <v>6</v>
      </c>
      <c r="AB58" s="59">
        <v>996</v>
      </c>
      <c r="AC58" s="70">
        <v>5.9880000000000003E-3</v>
      </c>
      <c r="AD58" s="59">
        <v>6</v>
      </c>
      <c r="AE58" s="59">
        <v>1017</v>
      </c>
      <c r="AF58" s="70">
        <v>5.8650000000000004E-3</v>
      </c>
    </row>
    <row r="59" spans="2:32" x14ac:dyDescent="0.2">
      <c r="B59" s="69" t="s">
        <v>24</v>
      </c>
      <c r="C59" s="59">
        <v>0</v>
      </c>
      <c r="D59" s="59">
        <v>1183</v>
      </c>
      <c r="E59" s="70">
        <v>0</v>
      </c>
      <c r="F59" s="59">
        <v>0</v>
      </c>
      <c r="G59" s="59">
        <v>1051</v>
      </c>
      <c r="H59" s="70">
        <v>0</v>
      </c>
      <c r="I59" s="59">
        <v>1</v>
      </c>
      <c r="J59" s="59">
        <v>1011</v>
      </c>
      <c r="K59" s="70">
        <v>9.8799999999999995E-4</v>
      </c>
      <c r="L59" s="59">
        <v>12</v>
      </c>
      <c r="M59" s="59">
        <v>986</v>
      </c>
      <c r="N59" s="70">
        <v>1.2024E-2</v>
      </c>
      <c r="O59" s="59">
        <v>0</v>
      </c>
      <c r="P59" s="59">
        <v>1050</v>
      </c>
      <c r="Q59" s="70">
        <v>0</v>
      </c>
      <c r="R59" s="59">
        <v>14</v>
      </c>
      <c r="S59" s="59">
        <v>1017</v>
      </c>
      <c r="T59" s="70">
        <v>1.3579000000000001E-2</v>
      </c>
      <c r="U59" s="59">
        <v>15</v>
      </c>
      <c r="V59" s="59">
        <v>1062</v>
      </c>
      <c r="W59" s="70">
        <v>1.3927E-2</v>
      </c>
      <c r="X59" s="59">
        <v>17</v>
      </c>
      <c r="Y59" s="59">
        <v>979</v>
      </c>
      <c r="Z59" s="70">
        <v>1.7068E-2</v>
      </c>
      <c r="AA59" s="59">
        <v>12</v>
      </c>
      <c r="AB59" s="59">
        <v>895</v>
      </c>
      <c r="AC59" s="70">
        <v>1.323E-2</v>
      </c>
      <c r="AD59" s="59">
        <v>34</v>
      </c>
      <c r="AE59" s="59">
        <v>776</v>
      </c>
      <c r="AF59" s="70">
        <v>4.1974999999999998E-2</v>
      </c>
    </row>
    <row r="60" spans="2:32" x14ac:dyDescent="0.2">
      <c r="B60" s="69" t="s">
        <v>25</v>
      </c>
      <c r="C60" s="59">
        <v>2</v>
      </c>
      <c r="D60" s="59">
        <v>824</v>
      </c>
      <c r="E60" s="70">
        <v>2.421E-3</v>
      </c>
      <c r="F60" s="59">
        <v>2</v>
      </c>
      <c r="G60" s="59">
        <v>749</v>
      </c>
      <c r="H60" s="70">
        <v>2.663E-3</v>
      </c>
      <c r="I60" s="59">
        <v>2</v>
      </c>
      <c r="J60" s="59">
        <v>697</v>
      </c>
      <c r="K60" s="70">
        <v>2.8609999999999998E-3</v>
      </c>
      <c r="L60" s="59">
        <v>2</v>
      </c>
      <c r="M60" s="59">
        <v>750</v>
      </c>
      <c r="N60" s="70">
        <v>2.6589999999999999E-3</v>
      </c>
      <c r="O60" s="59">
        <v>11</v>
      </c>
      <c r="P60" s="59">
        <v>897</v>
      </c>
      <c r="Q60" s="70">
        <v>1.2114E-2</v>
      </c>
      <c r="R60" s="59">
        <v>11</v>
      </c>
      <c r="S60" s="59">
        <v>1034</v>
      </c>
      <c r="T60" s="70">
        <v>1.0526000000000001E-2</v>
      </c>
      <c r="U60" s="59">
        <v>17</v>
      </c>
      <c r="V60" s="59">
        <v>1200</v>
      </c>
      <c r="W60" s="70">
        <v>1.3968E-2</v>
      </c>
      <c r="X60" s="59">
        <v>16</v>
      </c>
      <c r="Y60" s="59">
        <v>1241</v>
      </c>
      <c r="Z60" s="70">
        <v>1.2728E-2</v>
      </c>
      <c r="AA60" s="59">
        <v>20</v>
      </c>
      <c r="AB60" s="59">
        <v>1266</v>
      </c>
      <c r="AC60" s="70">
        <v>1.5552E-2</v>
      </c>
      <c r="AD60" s="59">
        <v>15</v>
      </c>
      <c r="AE60" s="59">
        <v>1323</v>
      </c>
      <c r="AF60" s="70">
        <v>1.1209999999999999E-2</v>
      </c>
    </row>
    <row r="61" spans="2:32" x14ac:dyDescent="0.2">
      <c r="B61" s="71" t="s">
        <v>26</v>
      </c>
      <c r="C61" s="62">
        <v>40</v>
      </c>
      <c r="D61" s="62">
        <v>2218</v>
      </c>
      <c r="E61" s="72">
        <v>1.7714000000000001E-2</v>
      </c>
      <c r="F61" s="62">
        <v>31</v>
      </c>
      <c r="G61" s="62">
        <v>2235</v>
      </c>
      <c r="H61" s="72">
        <v>1.3679999999999999E-2</v>
      </c>
      <c r="I61" s="62">
        <v>16</v>
      </c>
      <c r="J61" s="62">
        <v>2098</v>
      </c>
      <c r="K61" s="72">
        <v>7.5680000000000001E-3</v>
      </c>
      <c r="L61" s="62">
        <v>18</v>
      </c>
      <c r="M61" s="62">
        <v>2116</v>
      </c>
      <c r="N61" s="72">
        <v>8.4340000000000005E-3</v>
      </c>
      <c r="O61" s="62">
        <v>28</v>
      </c>
      <c r="P61" s="62">
        <v>2214</v>
      </c>
      <c r="Q61" s="72">
        <v>1.2488000000000001E-2</v>
      </c>
      <c r="R61" s="62">
        <v>31</v>
      </c>
      <c r="S61" s="62">
        <v>2354</v>
      </c>
      <c r="T61" s="72">
        <v>1.2997E-2</v>
      </c>
      <c r="U61" s="62">
        <v>43</v>
      </c>
      <c r="V61" s="62">
        <v>2565</v>
      </c>
      <c r="W61" s="72">
        <v>1.6487000000000002E-2</v>
      </c>
      <c r="X61" s="62">
        <v>53</v>
      </c>
      <c r="Y61" s="62">
        <v>2802</v>
      </c>
      <c r="Z61" s="72">
        <v>1.8563E-2</v>
      </c>
      <c r="AA61" s="62">
        <v>51</v>
      </c>
      <c r="AB61" s="62">
        <v>2909</v>
      </c>
      <c r="AC61" s="72">
        <v>1.7229000000000001E-2</v>
      </c>
      <c r="AD61" s="62">
        <v>39</v>
      </c>
      <c r="AE61" s="62">
        <v>3015</v>
      </c>
      <c r="AF61" s="72">
        <v>1.277E-2</v>
      </c>
    </row>
    <row r="62" spans="2:32" x14ac:dyDescent="0.2">
      <c r="B62" s="20" t="s">
        <v>27</v>
      </c>
      <c r="C62" s="21">
        <f>SUBTOTAL(109,'On-Campus Enrollment Trend'!$C$48:$C$61)</f>
        <v>166</v>
      </c>
      <c r="D62" s="21">
        <f>SUBTOTAL(109,'On-Campus Enrollment Trend'!$D$48:$D$61)</f>
        <v>16373</v>
      </c>
      <c r="E62" s="22">
        <f>'On-Campus Enrollment Trend'!$C$62 / ('On-Campus Enrollment Trend'!$D$62 + 'On-Campus Enrollment Trend'!$C$62)</f>
        <v>1.0036882520103997E-2</v>
      </c>
      <c r="F62" s="21">
        <f>SUBTOTAL(109,'On-Campus Enrollment Trend'!$F$48:$F$61)</f>
        <v>169</v>
      </c>
      <c r="G62" s="21">
        <f>SUBTOTAL(109,'On-Campus Enrollment Trend'!$G$48:$G$61)</f>
        <v>15155</v>
      </c>
      <c r="H62" s="22">
        <f>'On-Campus Enrollment Trend'!$F$62 / ('On-Campus Enrollment Trend'!$G$62 +'On-Campus Enrollment Trend'!$F$62)</f>
        <v>1.102845210127904E-2</v>
      </c>
      <c r="I62" s="21">
        <f>SUBTOTAL(109,'On-Campus Enrollment Trend'!$I$48:$I$61)</f>
        <v>141</v>
      </c>
      <c r="J62" s="21">
        <f>SUBTOTAL(109,'On-Campus Enrollment Trend'!$J$48:$J$61)</f>
        <v>13980</v>
      </c>
      <c r="K62" s="22">
        <f>'On-Campus Enrollment Trend'!$I$62 / ('On-Campus Enrollment Trend'!$J$62 + 'On-Campus Enrollment Trend'!$I$62)</f>
        <v>9.9851285319736555E-3</v>
      </c>
      <c r="L62" s="21">
        <f>SUBTOTAL(109,'On-Campus Enrollment Trend'!$L$48:$L$61)</f>
        <v>126</v>
      </c>
      <c r="M62" s="21">
        <f>SUBTOTAL(109,'On-Campus Enrollment Trend'!$M$48:$M$61)</f>
        <v>13506</v>
      </c>
      <c r="N62" s="22">
        <f>'On-Campus Enrollment Trend'!$L$62 / ('On-Campus Enrollment Trend'!$M$62 +'On-Campus Enrollment Trend'!$L$62)</f>
        <v>9.2429577464788731E-3</v>
      </c>
      <c r="O62" s="21">
        <f>SUBTOTAL(109,'On-Campus Enrollment Trend'!$O$48:$O$61)</f>
        <v>144</v>
      </c>
      <c r="P62" s="21">
        <f>SUBTOTAL(109,'On-Campus Enrollment Trend'!$P$48:$P$61)</f>
        <v>13658</v>
      </c>
      <c r="Q62" s="22">
        <f>'On-Campus Enrollment Trend'!$O$62 / ('On-Campus Enrollment Trend'!$P$62 +'On-Campus Enrollment Trend'!$O$62)</f>
        <v>1.0433270540501376E-2</v>
      </c>
      <c r="R62" s="21">
        <f>SUBTOTAL(109,'On-Campus Enrollment Trend'!$R$48:$R$61)</f>
        <v>172</v>
      </c>
      <c r="S62" s="21">
        <f>SUBTOTAL(109,'On-Campus Enrollment Trend'!$S$48:$S$61)</f>
        <v>14136</v>
      </c>
      <c r="T62" s="22">
        <f xml:space="preserve"> 'On-Campus Enrollment Trend'!$R$62 /('On-Campus Enrollment Trend'!$S$62 +'On-Campus Enrollment Trend'!$R$62)</f>
        <v>1.2021246854906346E-2</v>
      </c>
      <c r="U62" s="21">
        <f>SUBTOTAL(109,'On-Campus Enrollment Trend'!$U$48:$U$61)</f>
        <v>154</v>
      </c>
      <c r="V62" s="21">
        <f>SUBTOTAL(109,'On-Campus Enrollment Trend'!$V$48:$V$61)</f>
        <v>14823</v>
      </c>
      <c r="W62" s="22">
        <f>'On-Campus Enrollment Trend'!$U$62 / ('On-Campus Enrollment Trend'!$V$62 + 'On-Campus Enrollment Trend'!$U$62)</f>
        <v>1.0282433064031515E-2</v>
      </c>
      <c r="X62" s="21">
        <f>SUBTOTAL(109,'On-Campus Enrollment Trend'!$X$48:$X$61)</f>
        <v>187</v>
      </c>
      <c r="Y62" s="21">
        <f>SUBTOTAL(109,'On-Campus Enrollment Trend'!$Y$48:$Y$61)</f>
        <v>15143</v>
      </c>
      <c r="Z62" s="22">
        <f>'On-Campus Enrollment Trend'!$X$62 / ('On-Campus Enrollment Trend'!$Y$62 +'On-Campus Enrollment Trend'!$X$62)</f>
        <v>1.2198303979125897E-2</v>
      </c>
      <c r="AA62" s="21">
        <f>SUBTOTAL(109,'On-Campus Enrollment Trend'!$AA$48:$AA$61)</f>
        <v>167</v>
      </c>
      <c r="AB62" s="21">
        <f>SUBTOTAL(109,'On-Campus Enrollment Trend'!$AB$48:$AB$61)</f>
        <v>15122</v>
      </c>
      <c r="AC62" s="22">
        <f xml:space="preserve"> 'On-Campus Enrollment Trend'!$AA$62 / ('On-Campus Enrollment Trend'!$AB$62 +'On-Campus Enrollment Trend'!$AA$62)</f>
        <v>1.0922885734842043E-2</v>
      </c>
      <c r="AD62" s="21">
        <f>SUBTOTAL(109,'On-Campus Enrollment Trend'!$AD$48:$AD$61)</f>
        <v>173</v>
      </c>
      <c r="AE62" s="21">
        <f>SUBTOTAL(109,'On-Campus Enrollment Trend'!$AE$48:$AE$61)</f>
        <v>15203</v>
      </c>
      <c r="AF62" s="22">
        <f>'On-Campus Enrollment Trend'!$AD$62 / ('On-Campus Enrollment Trend'!$AE$62 +'On-Campus Enrollment Trend'!$AD$62)</f>
        <v>1.1251300728407909E-2</v>
      </c>
    </row>
    <row r="65" spans="2:32" ht="15" x14ac:dyDescent="0.2">
      <c r="B65" s="131" t="s">
        <v>276</v>
      </c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1"/>
      <c r="Y65" s="131"/>
      <c r="Z65" s="131"/>
      <c r="AA65" s="131"/>
      <c r="AB65" s="131"/>
      <c r="AC65" s="131"/>
      <c r="AD65" s="131"/>
      <c r="AE65" s="131"/>
      <c r="AF65" s="131"/>
    </row>
    <row r="66" spans="2:32" x14ac:dyDescent="0.2">
      <c r="B66" s="134" t="s">
        <v>1</v>
      </c>
      <c r="C66" s="133" t="str">
        <f>CONCATENATE(IF(RIGHT(Parameters!B1,1) = "1","Fall ", "Spring "),IF(RIGHT(Parameters!B1,1) = "1",LEFT(Parameters!B1,4) -9, LEFT(Parameters!B1,4) - 8))</f>
        <v>Fall 2010</v>
      </c>
      <c r="D66" s="133"/>
      <c r="E66" s="133"/>
      <c r="F66" s="133" t="str">
        <f>CONCATENATE(IF(RIGHT(Parameters!B1,1) = "1","Fall ", "Spring "),IF(RIGHT(Parameters!B1,1) = "1",LEFT(Parameters!B1,4) -8, LEFT(Parameters!B1,4) - 7))</f>
        <v>Fall 2011</v>
      </c>
      <c r="G66" s="133"/>
      <c r="H66" s="133"/>
      <c r="I66" s="133" t="str">
        <f>CONCATENATE(IF(RIGHT(Parameters!B1,1) = "1","Fall ", "Spring "),IF(RIGHT(Parameters!B1,1) = "1",LEFT(Parameters!B1,4) -7, LEFT(Parameters!B1,4) - 6))</f>
        <v>Fall 2012</v>
      </c>
      <c r="J66" s="133"/>
      <c r="K66" s="133"/>
      <c r="L66" s="133" t="str">
        <f>CONCATENATE(IF(RIGHT(Parameters!B1,1) = "1","Fall ", "Spring "),IF(RIGHT(Parameters!B1,1) = "1",LEFT(Parameters!B1,4) -6, LEFT(Parameters!B1,4) - 5))</f>
        <v>Fall 2013</v>
      </c>
      <c r="M66" s="133"/>
      <c r="N66" s="133"/>
      <c r="O66" s="133" t="str">
        <f>CONCATENATE(IF(RIGHT(Parameters!B1,1) = "1","Fall ", "Spring "),IF(RIGHT(Parameters!B1,1) = "1",LEFT(Parameters!B1,4) -5, LEFT(Parameters!B1,4) - 4))</f>
        <v>Fall 2014</v>
      </c>
      <c r="P66" s="133"/>
      <c r="Q66" s="133"/>
      <c r="R66" s="133" t="str">
        <f>CONCATENATE(IF(RIGHT(Parameters!B1,1) = "1","Fall ", "Spring "),IF(RIGHT(Parameters!B1,1) = "1",LEFT(Parameters!B1,4) -4, LEFT(Parameters!B1,4) - 3))</f>
        <v>Fall 2015</v>
      </c>
      <c r="S66" s="133"/>
      <c r="T66" s="133"/>
      <c r="U66" s="133" t="str">
        <f>CONCATENATE(IF(RIGHT(Parameters!B1,1) = "1","Fall ", "Spring "),IF(RIGHT(Parameters!B1,1) = "1",LEFT(Parameters!B1,4) -3, LEFT(Parameters!B1,4) -2 ))</f>
        <v>Fall 2016</v>
      </c>
      <c r="V66" s="133"/>
      <c r="W66" s="133"/>
      <c r="X66" s="133" t="str">
        <f>CONCATENATE(IF(RIGHT(Parameters!B1,1) = "1","Fall ", "Spring "),IF(RIGHT(Parameters!B1,1) = "1",LEFT(Parameters!B1,4) -2, LEFT(Parameters!B1,4) -1 ))</f>
        <v>Fall 2017</v>
      </c>
      <c r="Y66" s="133"/>
      <c r="Z66" s="133"/>
      <c r="AA66" s="133" t="str">
        <f>CONCATENATE(IF(RIGHT(Parameters!B1,1) = "1","Fall ", "Spring "),IF(RIGHT(Parameters!B1,1) = "1",LEFT(Parameters!B1,4) -1, LEFT(Parameters!B1,4)  ))</f>
        <v>Fall 2018</v>
      </c>
      <c r="AB66" s="133"/>
      <c r="AC66" s="133"/>
      <c r="AD66" s="133" t="str">
        <f>CONCATENATE(IF(RIGHT(Parameters!B1,1) = "1","Fall ", "Spring "),IF(RIGHT(Parameters!B1,1) = "1",LEFT(Parameters!B1,4), LEFT(Parameters!B1,4) + 1))</f>
        <v>Fall 2019</v>
      </c>
      <c r="AE66" s="133"/>
      <c r="AF66" s="133"/>
    </row>
    <row r="67" spans="2:32" ht="42.75" x14ac:dyDescent="0.2">
      <c r="B67" s="135"/>
      <c r="C67" s="54" t="s">
        <v>271</v>
      </c>
      <c r="D67" s="54" t="s">
        <v>272</v>
      </c>
      <c r="E67" s="54" t="s">
        <v>273</v>
      </c>
      <c r="F67" s="54" t="s">
        <v>271</v>
      </c>
      <c r="G67" s="54" t="s">
        <v>272</v>
      </c>
      <c r="H67" s="54" t="s">
        <v>273</v>
      </c>
      <c r="I67" s="54" t="s">
        <v>271</v>
      </c>
      <c r="J67" s="54" t="s">
        <v>272</v>
      </c>
      <c r="K67" s="54" t="s">
        <v>273</v>
      </c>
      <c r="L67" s="54" t="s">
        <v>271</v>
      </c>
      <c r="M67" s="54" t="s">
        <v>272</v>
      </c>
      <c r="N67" s="54" t="s">
        <v>273</v>
      </c>
      <c r="O67" s="54" t="s">
        <v>271</v>
      </c>
      <c r="P67" s="54" t="s">
        <v>272</v>
      </c>
      <c r="Q67" s="54" t="s">
        <v>273</v>
      </c>
      <c r="R67" s="54" t="s">
        <v>271</v>
      </c>
      <c r="S67" s="54" t="s">
        <v>272</v>
      </c>
      <c r="T67" s="54" t="s">
        <v>273</v>
      </c>
      <c r="U67" s="54" t="s">
        <v>271</v>
      </c>
      <c r="V67" s="54" t="s">
        <v>272</v>
      </c>
      <c r="W67" s="54" t="s">
        <v>273</v>
      </c>
      <c r="X67" s="54" t="s">
        <v>271</v>
      </c>
      <c r="Y67" s="54" t="s">
        <v>272</v>
      </c>
      <c r="Z67" s="54" t="s">
        <v>273</v>
      </c>
      <c r="AA67" s="54" t="s">
        <v>271</v>
      </c>
      <c r="AB67" s="54" t="s">
        <v>272</v>
      </c>
      <c r="AC67" s="54" t="s">
        <v>273</v>
      </c>
      <c r="AD67" s="54" t="s">
        <v>271</v>
      </c>
      <c r="AE67" s="54" t="s">
        <v>272</v>
      </c>
      <c r="AF67" s="54" t="s">
        <v>273</v>
      </c>
    </row>
    <row r="68" spans="2:32" ht="17.25" hidden="1" customHeight="1" thickBot="1" x14ac:dyDescent="0.25">
      <c r="B68" s="26" t="s">
        <v>2</v>
      </c>
      <c r="C68" s="26" t="s">
        <v>84</v>
      </c>
      <c r="D68" s="26" t="s">
        <v>85</v>
      </c>
      <c r="E68" s="26" t="s">
        <v>86</v>
      </c>
      <c r="F68" s="26" t="s">
        <v>87</v>
      </c>
      <c r="G68" s="26" t="s">
        <v>88</v>
      </c>
      <c r="H68" s="26" t="s">
        <v>89</v>
      </c>
      <c r="I68" s="26" t="s">
        <v>90</v>
      </c>
      <c r="J68" s="26" t="s">
        <v>91</v>
      </c>
      <c r="K68" s="26" t="s">
        <v>92</v>
      </c>
      <c r="L68" s="26" t="s">
        <v>93</v>
      </c>
      <c r="M68" s="26" t="s">
        <v>94</v>
      </c>
      <c r="N68" s="26" t="s">
        <v>95</v>
      </c>
      <c r="O68" s="26" t="s">
        <v>96</v>
      </c>
      <c r="P68" s="26" t="s">
        <v>97</v>
      </c>
      <c r="Q68" s="26" t="s">
        <v>98</v>
      </c>
      <c r="R68" s="26" t="s">
        <v>99</v>
      </c>
      <c r="S68" s="26" t="s">
        <v>100</v>
      </c>
      <c r="T68" s="26" t="s">
        <v>101</v>
      </c>
      <c r="U68" s="26" t="s">
        <v>102</v>
      </c>
      <c r="V68" s="26" t="s">
        <v>103</v>
      </c>
      <c r="W68" s="26" t="s">
        <v>104</v>
      </c>
      <c r="X68" s="26" t="s">
        <v>105</v>
      </c>
      <c r="Y68" s="26" t="s">
        <v>106</v>
      </c>
      <c r="Z68" s="26" t="s">
        <v>107</v>
      </c>
      <c r="AA68" s="26" t="s">
        <v>108</v>
      </c>
      <c r="AB68" s="26" t="s">
        <v>109</v>
      </c>
      <c r="AC68" s="26" t="s">
        <v>110</v>
      </c>
      <c r="AD68" s="26" t="s">
        <v>111</v>
      </c>
      <c r="AE68" s="26" t="s">
        <v>112</v>
      </c>
      <c r="AF68" s="26" t="s">
        <v>113</v>
      </c>
    </row>
    <row r="69" spans="2:32" x14ac:dyDescent="0.2">
      <c r="B69" s="67" t="s">
        <v>13</v>
      </c>
      <c r="C69" s="57">
        <v>1964</v>
      </c>
      <c r="D69" s="57">
        <v>172</v>
      </c>
      <c r="E69" s="68">
        <v>0.91947500000000004</v>
      </c>
      <c r="F69" s="57">
        <v>1767</v>
      </c>
      <c r="G69" s="57">
        <v>204</v>
      </c>
      <c r="H69" s="68">
        <v>0.89649900000000005</v>
      </c>
      <c r="I69" s="57">
        <v>1698</v>
      </c>
      <c r="J69" s="57">
        <v>212</v>
      </c>
      <c r="K69" s="68">
        <v>0.88900500000000005</v>
      </c>
      <c r="L69" s="57">
        <v>2015</v>
      </c>
      <c r="M69" s="57">
        <v>193</v>
      </c>
      <c r="N69" s="68">
        <v>0.91259000000000001</v>
      </c>
      <c r="O69" s="57">
        <v>1954</v>
      </c>
      <c r="P69" s="57">
        <v>208</v>
      </c>
      <c r="Q69" s="68">
        <v>0.90379200000000004</v>
      </c>
      <c r="R69" s="57">
        <v>1904</v>
      </c>
      <c r="S69" s="57">
        <v>199</v>
      </c>
      <c r="T69" s="68">
        <v>0.90537299999999998</v>
      </c>
      <c r="U69" s="57">
        <v>1684</v>
      </c>
      <c r="V69" s="57">
        <v>211</v>
      </c>
      <c r="W69" s="68">
        <v>0.88865400000000005</v>
      </c>
      <c r="X69" s="57">
        <v>1662</v>
      </c>
      <c r="Y69" s="57">
        <v>190</v>
      </c>
      <c r="Z69" s="68">
        <v>0.89740799999999998</v>
      </c>
      <c r="AA69" s="57">
        <v>1659</v>
      </c>
      <c r="AB69" s="57">
        <v>184</v>
      </c>
      <c r="AC69" s="68">
        <v>0.90016200000000002</v>
      </c>
      <c r="AD69" s="57">
        <v>1770</v>
      </c>
      <c r="AE69" s="57">
        <v>207</v>
      </c>
      <c r="AF69" s="68">
        <v>0.89529499999999995</v>
      </c>
    </row>
    <row r="70" spans="2:32" x14ac:dyDescent="0.2">
      <c r="B70" s="69" t="s">
        <v>14</v>
      </c>
      <c r="C70" s="59">
        <v>657</v>
      </c>
      <c r="D70" s="59">
        <v>232</v>
      </c>
      <c r="E70" s="70">
        <v>0.73903200000000002</v>
      </c>
      <c r="F70" s="59">
        <v>645</v>
      </c>
      <c r="G70" s="59">
        <v>193</v>
      </c>
      <c r="H70" s="70">
        <v>0.76968899999999996</v>
      </c>
      <c r="I70" s="59">
        <v>480</v>
      </c>
      <c r="J70" s="59">
        <v>144</v>
      </c>
      <c r="K70" s="70">
        <v>0.76922999999999997</v>
      </c>
      <c r="L70" s="59">
        <v>784</v>
      </c>
      <c r="M70" s="59">
        <v>245</v>
      </c>
      <c r="N70" s="70">
        <v>0.76190400000000003</v>
      </c>
      <c r="O70" s="59">
        <v>665</v>
      </c>
      <c r="P70" s="59">
        <v>321</v>
      </c>
      <c r="Q70" s="70">
        <v>0.67444199999999999</v>
      </c>
      <c r="R70" s="59">
        <v>590</v>
      </c>
      <c r="S70" s="59">
        <v>290</v>
      </c>
      <c r="T70" s="70">
        <v>0.67045399999999999</v>
      </c>
      <c r="U70" s="59">
        <v>597</v>
      </c>
      <c r="V70" s="59">
        <v>250</v>
      </c>
      <c r="W70" s="70">
        <v>0.70484000000000002</v>
      </c>
      <c r="X70" s="59">
        <v>577</v>
      </c>
      <c r="Y70" s="59">
        <v>339</v>
      </c>
      <c r="Z70" s="70">
        <v>0.62991200000000003</v>
      </c>
      <c r="AA70" s="59">
        <v>584</v>
      </c>
      <c r="AB70" s="59">
        <v>328</v>
      </c>
      <c r="AC70" s="70">
        <v>0.64034999999999997</v>
      </c>
      <c r="AD70" s="59">
        <v>594</v>
      </c>
      <c r="AE70" s="59">
        <v>285</v>
      </c>
      <c r="AF70" s="70">
        <v>0.67576700000000001</v>
      </c>
    </row>
    <row r="71" spans="2:32" x14ac:dyDescent="0.2">
      <c r="B71" s="69" t="s">
        <v>15</v>
      </c>
      <c r="C71" s="59">
        <v>438</v>
      </c>
      <c r="D71" s="59">
        <v>34</v>
      </c>
      <c r="E71" s="70">
        <v>0.92796599999999996</v>
      </c>
      <c r="F71" s="59">
        <v>188</v>
      </c>
      <c r="G71" s="59">
        <v>15</v>
      </c>
      <c r="H71" s="70">
        <v>0.92610800000000004</v>
      </c>
      <c r="I71" s="59">
        <v>239</v>
      </c>
      <c r="J71" s="59">
        <v>76</v>
      </c>
      <c r="K71" s="70">
        <v>0.75873000000000002</v>
      </c>
      <c r="L71" s="59">
        <v>326</v>
      </c>
      <c r="M71" s="59">
        <v>18</v>
      </c>
      <c r="N71" s="70">
        <v>0.94767400000000002</v>
      </c>
      <c r="O71" s="59">
        <v>218</v>
      </c>
      <c r="P71" s="59">
        <v>11</v>
      </c>
      <c r="Q71" s="70">
        <v>0.95196499999999995</v>
      </c>
      <c r="R71" s="59">
        <v>95</v>
      </c>
      <c r="S71" s="59">
        <v>5</v>
      </c>
      <c r="T71" s="70">
        <v>0.94999900000000004</v>
      </c>
      <c r="U71" s="59">
        <v>172</v>
      </c>
      <c r="V71" s="59">
        <v>9</v>
      </c>
      <c r="W71" s="70">
        <v>0.95027600000000001</v>
      </c>
      <c r="X71" s="59">
        <v>169</v>
      </c>
      <c r="Y71" s="59">
        <v>29</v>
      </c>
      <c r="Z71" s="70">
        <v>0.85353500000000004</v>
      </c>
      <c r="AA71" s="59">
        <v>92</v>
      </c>
      <c r="AB71" s="59">
        <v>10</v>
      </c>
      <c r="AC71" s="70">
        <v>0.90195999999999998</v>
      </c>
      <c r="AD71" s="59">
        <v>194</v>
      </c>
      <c r="AE71" s="59">
        <v>19</v>
      </c>
      <c r="AF71" s="70">
        <v>0.910798</v>
      </c>
    </row>
    <row r="72" spans="2:32" x14ac:dyDescent="0.2">
      <c r="B72" s="69" t="s">
        <v>16</v>
      </c>
      <c r="C72" s="59">
        <v>864</v>
      </c>
      <c r="D72" s="59">
        <v>349</v>
      </c>
      <c r="E72" s="70">
        <v>0.712283</v>
      </c>
      <c r="F72" s="59">
        <v>748</v>
      </c>
      <c r="G72" s="59">
        <v>347</v>
      </c>
      <c r="H72" s="70">
        <v>0.68310499999999996</v>
      </c>
      <c r="I72" s="59">
        <v>561</v>
      </c>
      <c r="J72" s="59">
        <v>379</v>
      </c>
      <c r="K72" s="70">
        <v>0.59680800000000001</v>
      </c>
      <c r="L72" s="59">
        <v>512</v>
      </c>
      <c r="M72" s="59">
        <v>335</v>
      </c>
      <c r="N72" s="70">
        <v>0.60448599999999997</v>
      </c>
      <c r="O72" s="59">
        <v>515</v>
      </c>
      <c r="P72" s="59">
        <v>179</v>
      </c>
      <c r="Q72" s="70">
        <v>0.74207400000000001</v>
      </c>
      <c r="R72" s="59">
        <v>626</v>
      </c>
      <c r="S72" s="59">
        <v>156</v>
      </c>
      <c r="T72" s="70">
        <v>0.80051099999999997</v>
      </c>
      <c r="U72" s="59">
        <v>653</v>
      </c>
      <c r="V72" s="59">
        <v>170</v>
      </c>
      <c r="W72" s="70">
        <v>0.79343799999999998</v>
      </c>
      <c r="X72" s="59">
        <v>575</v>
      </c>
      <c r="Y72" s="59">
        <v>168</v>
      </c>
      <c r="Z72" s="70">
        <v>0.77388900000000005</v>
      </c>
      <c r="AA72" s="59">
        <v>529</v>
      </c>
      <c r="AB72" s="59">
        <v>127</v>
      </c>
      <c r="AC72" s="70">
        <v>0.80640199999999995</v>
      </c>
      <c r="AD72" s="59">
        <v>561</v>
      </c>
      <c r="AE72" s="59">
        <v>158</v>
      </c>
      <c r="AF72" s="70">
        <v>0.78025</v>
      </c>
    </row>
    <row r="73" spans="2:32" x14ac:dyDescent="0.2">
      <c r="B73" s="69" t="s">
        <v>17</v>
      </c>
      <c r="C73" s="59">
        <v>929</v>
      </c>
      <c r="D73" s="59">
        <v>210</v>
      </c>
      <c r="E73" s="70">
        <v>0.81562699999999999</v>
      </c>
      <c r="F73" s="59">
        <v>1110</v>
      </c>
      <c r="G73" s="59">
        <v>262</v>
      </c>
      <c r="H73" s="70">
        <v>0.80903700000000001</v>
      </c>
      <c r="I73" s="59">
        <v>973</v>
      </c>
      <c r="J73" s="59">
        <v>254</v>
      </c>
      <c r="K73" s="70">
        <v>0.792991</v>
      </c>
      <c r="L73" s="59">
        <v>923</v>
      </c>
      <c r="M73" s="59">
        <v>220</v>
      </c>
      <c r="N73" s="70">
        <v>0.80752400000000002</v>
      </c>
      <c r="O73" s="59">
        <v>1035</v>
      </c>
      <c r="P73" s="59">
        <v>228</v>
      </c>
      <c r="Q73" s="70">
        <v>0.81947700000000001</v>
      </c>
      <c r="R73" s="59">
        <v>1045</v>
      </c>
      <c r="S73" s="59">
        <v>225</v>
      </c>
      <c r="T73" s="70">
        <v>0.82283399999999995</v>
      </c>
      <c r="U73" s="59">
        <v>0</v>
      </c>
      <c r="V73" s="59">
        <v>1299</v>
      </c>
      <c r="W73" s="70">
        <v>0</v>
      </c>
      <c r="X73" s="59">
        <v>990</v>
      </c>
      <c r="Y73" s="59">
        <v>290</v>
      </c>
      <c r="Z73" s="70">
        <v>0.77343700000000004</v>
      </c>
      <c r="AA73" s="59">
        <v>889</v>
      </c>
      <c r="AB73" s="59">
        <v>245</v>
      </c>
      <c r="AC73" s="70">
        <v>0.78395000000000004</v>
      </c>
      <c r="AD73" s="59">
        <v>859</v>
      </c>
      <c r="AE73" s="59">
        <v>264</v>
      </c>
      <c r="AF73" s="70">
        <v>0.76491500000000001</v>
      </c>
    </row>
    <row r="74" spans="2:32" x14ac:dyDescent="0.2">
      <c r="B74" s="69" t="s">
        <v>18</v>
      </c>
      <c r="C74" s="59">
        <v>1026</v>
      </c>
      <c r="D74" s="59">
        <v>205</v>
      </c>
      <c r="E74" s="70">
        <v>0.83346799999999999</v>
      </c>
      <c r="F74" s="59">
        <v>1015</v>
      </c>
      <c r="G74" s="59">
        <v>179</v>
      </c>
      <c r="H74" s="70">
        <v>0.85008300000000003</v>
      </c>
      <c r="I74" s="59">
        <v>807</v>
      </c>
      <c r="J74" s="59">
        <v>146</v>
      </c>
      <c r="K74" s="70">
        <v>0.84679899999999997</v>
      </c>
      <c r="L74" s="59">
        <v>658</v>
      </c>
      <c r="M74" s="59">
        <v>160</v>
      </c>
      <c r="N74" s="70">
        <v>0.8044</v>
      </c>
      <c r="O74" s="59">
        <v>764</v>
      </c>
      <c r="P74" s="59">
        <v>168</v>
      </c>
      <c r="Q74" s="70">
        <v>0.81974199999999997</v>
      </c>
      <c r="R74" s="59">
        <v>838</v>
      </c>
      <c r="S74" s="59">
        <v>157</v>
      </c>
      <c r="T74" s="70">
        <v>0.84221100000000004</v>
      </c>
      <c r="U74" s="59">
        <v>634</v>
      </c>
      <c r="V74" s="59">
        <v>143</v>
      </c>
      <c r="W74" s="70">
        <v>0.81595799999999996</v>
      </c>
      <c r="X74" s="59">
        <v>506</v>
      </c>
      <c r="Y74" s="59">
        <v>128</v>
      </c>
      <c r="Z74" s="70">
        <v>0.79810700000000001</v>
      </c>
      <c r="AA74" s="59">
        <v>358</v>
      </c>
      <c r="AB74" s="59">
        <v>161</v>
      </c>
      <c r="AC74" s="70">
        <v>0.68978799999999996</v>
      </c>
      <c r="AD74" s="59">
        <v>473</v>
      </c>
      <c r="AE74" s="59">
        <v>186</v>
      </c>
      <c r="AF74" s="70">
        <v>0.717754</v>
      </c>
    </row>
    <row r="75" spans="2:32" x14ac:dyDescent="0.2">
      <c r="B75" s="69" t="s">
        <v>19</v>
      </c>
      <c r="C75" s="59">
        <v>2447</v>
      </c>
      <c r="D75" s="59">
        <v>522</v>
      </c>
      <c r="E75" s="70">
        <v>0.824183</v>
      </c>
      <c r="F75" s="59">
        <v>2483</v>
      </c>
      <c r="G75" s="59">
        <v>418</v>
      </c>
      <c r="H75" s="70">
        <v>0.85591099999999998</v>
      </c>
      <c r="I75" s="59">
        <v>2436</v>
      </c>
      <c r="J75" s="59">
        <v>488</v>
      </c>
      <c r="K75" s="70">
        <v>0.83310499999999998</v>
      </c>
      <c r="L75" s="59">
        <v>2130</v>
      </c>
      <c r="M75" s="59">
        <v>517</v>
      </c>
      <c r="N75" s="70">
        <v>0.80468399999999995</v>
      </c>
      <c r="O75" s="59">
        <v>2227</v>
      </c>
      <c r="P75" s="59">
        <v>491</v>
      </c>
      <c r="Q75" s="70">
        <v>0.81935199999999997</v>
      </c>
      <c r="R75" s="59">
        <v>2171</v>
      </c>
      <c r="S75" s="59">
        <v>303</v>
      </c>
      <c r="T75" s="70">
        <v>0.87752600000000003</v>
      </c>
      <c r="U75" s="59">
        <v>1925</v>
      </c>
      <c r="V75" s="59">
        <v>270</v>
      </c>
      <c r="W75" s="70">
        <v>0.87699300000000002</v>
      </c>
      <c r="X75" s="59">
        <v>2006</v>
      </c>
      <c r="Y75" s="59">
        <v>302</v>
      </c>
      <c r="Z75" s="70">
        <v>0.86914999999999998</v>
      </c>
      <c r="AA75" s="59">
        <v>1596</v>
      </c>
      <c r="AB75" s="59">
        <v>364</v>
      </c>
      <c r="AC75" s="70">
        <v>0.81428500000000004</v>
      </c>
      <c r="AD75" s="59">
        <v>1536</v>
      </c>
      <c r="AE75" s="59">
        <v>218</v>
      </c>
      <c r="AF75" s="70">
        <v>0.87571200000000005</v>
      </c>
    </row>
    <row r="76" spans="2:32" x14ac:dyDescent="0.2">
      <c r="B76" s="69" t="s">
        <v>20</v>
      </c>
      <c r="C76" s="59">
        <v>1788</v>
      </c>
      <c r="D76" s="59">
        <v>222</v>
      </c>
      <c r="E76" s="70">
        <v>0.88955200000000001</v>
      </c>
      <c r="F76" s="59">
        <v>1658</v>
      </c>
      <c r="G76" s="59">
        <v>372</v>
      </c>
      <c r="H76" s="70">
        <v>0.81674800000000003</v>
      </c>
      <c r="I76" s="59">
        <v>1756</v>
      </c>
      <c r="J76" s="59">
        <v>234</v>
      </c>
      <c r="K76" s="70">
        <v>0.88241199999999997</v>
      </c>
      <c r="L76" s="59">
        <v>1617</v>
      </c>
      <c r="M76" s="59">
        <v>195</v>
      </c>
      <c r="N76" s="70">
        <v>0.89238399999999996</v>
      </c>
      <c r="O76" s="59">
        <v>1592</v>
      </c>
      <c r="P76" s="59">
        <v>187</v>
      </c>
      <c r="Q76" s="70">
        <v>0.89488400000000001</v>
      </c>
      <c r="R76" s="59">
        <v>1702</v>
      </c>
      <c r="S76" s="59">
        <v>157</v>
      </c>
      <c r="T76" s="70">
        <v>0.91554500000000005</v>
      </c>
      <c r="U76" s="59">
        <v>1495</v>
      </c>
      <c r="V76" s="59">
        <v>196</v>
      </c>
      <c r="W76" s="70">
        <v>0.88409199999999999</v>
      </c>
      <c r="X76" s="59">
        <v>1429</v>
      </c>
      <c r="Y76" s="59">
        <v>175</v>
      </c>
      <c r="Z76" s="70">
        <v>0.89089700000000005</v>
      </c>
      <c r="AA76" s="59">
        <v>1456</v>
      </c>
      <c r="AB76" s="59">
        <v>179</v>
      </c>
      <c r="AC76" s="70">
        <v>0.89051899999999995</v>
      </c>
      <c r="AD76" s="59">
        <v>1255</v>
      </c>
      <c r="AE76" s="59">
        <v>137</v>
      </c>
      <c r="AF76" s="70">
        <v>0.90158000000000005</v>
      </c>
    </row>
    <row r="77" spans="2:32" x14ac:dyDescent="0.2">
      <c r="B77" s="69" t="s">
        <v>21</v>
      </c>
      <c r="C77" s="59">
        <v>973</v>
      </c>
      <c r="D77" s="59">
        <v>174</v>
      </c>
      <c r="E77" s="70">
        <v>0.84829900000000003</v>
      </c>
      <c r="F77" s="59">
        <v>1017</v>
      </c>
      <c r="G77" s="59">
        <v>170</v>
      </c>
      <c r="H77" s="70">
        <v>0.85678100000000001</v>
      </c>
      <c r="I77" s="59">
        <v>567</v>
      </c>
      <c r="J77" s="59">
        <v>532</v>
      </c>
      <c r="K77" s="70">
        <v>0.51592300000000002</v>
      </c>
      <c r="L77" s="59">
        <v>483</v>
      </c>
      <c r="M77" s="59">
        <v>556</v>
      </c>
      <c r="N77" s="70">
        <v>0.46487000000000001</v>
      </c>
      <c r="O77" s="59">
        <v>322</v>
      </c>
      <c r="P77" s="59">
        <v>540</v>
      </c>
      <c r="Q77" s="70">
        <v>0.37354900000000002</v>
      </c>
      <c r="R77" s="59">
        <v>251</v>
      </c>
      <c r="S77" s="59">
        <v>579</v>
      </c>
      <c r="T77" s="70">
        <v>0.30240899999999998</v>
      </c>
      <c r="U77" s="59">
        <v>193</v>
      </c>
      <c r="V77" s="59">
        <v>573</v>
      </c>
      <c r="W77" s="70">
        <v>0.25195800000000002</v>
      </c>
      <c r="X77" s="59">
        <v>188</v>
      </c>
      <c r="Y77" s="59">
        <v>544</v>
      </c>
      <c r="Z77" s="70">
        <v>0.25683</v>
      </c>
      <c r="AA77" s="59">
        <v>93</v>
      </c>
      <c r="AB77" s="59">
        <v>544</v>
      </c>
      <c r="AC77" s="70">
        <v>0.14599599999999999</v>
      </c>
      <c r="AD77" s="59">
        <v>109</v>
      </c>
      <c r="AE77" s="59">
        <v>439</v>
      </c>
      <c r="AF77" s="70">
        <v>0.198905</v>
      </c>
    </row>
    <row r="78" spans="2:32" x14ac:dyDescent="0.2">
      <c r="B78" s="69" t="s">
        <v>22</v>
      </c>
      <c r="C78" s="59">
        <v>416</v>
      </c>
      <c r="D78" s="59">
        <v>80</v>
      </c>
      <c r="E78" s="70">
        <v>0.83870900000000004</v>
      </c>
      <c r="F78" s="59">
        <v>397</v>
      </c>
      <c r="G78" s="59">
        <v>82</v>
      </c>
      <c r="H78" s="70">
        <v>0.82881000000000005</v>
      </c>
      <c r="I78" s="59">
        <v>385</v>
      </c>
      <c r="J78" s="59">
        <v>71</v>
      </c>
      <c r="K78" s="70">
        <v>0.84429799999999999</v>
      </c>
      <c r="L78" s="59">
        <v>387</v>
      </c>
      <c r="M78" s="59">
        <v>81</v>
      </c>
      <c r="N78" s="70">
        <v>0.82692299999999996</v>
      </c>
      <c r="O78" s="59">
        <v>338</v>
      </c>
      <c r="P78" s="59">
        <v>58</v>
      </c>
      <c r="Q78" s="70">
        <v>0.85353500000000004</v>
      </c>
      <c r="R78" s="59">
        <v>255</v>
      </c>
      <c r="S78" s="59">
        <v>57</v>
      </c>
      <c r="T78" s="70">
        <v>0.81730700000000001</v>
      </c>
      <c r="U78" s="59">
        <v>301</v>
      </c>
      <c r="V78" s="59">
        <v>42</v>
      </c>
      <c r="W78" s="70">
        <v>0.87755099999999997</v>
      </c>
      <c r="X78" s="59">
        <v>253</v>
      </c>
      <c r="Y78" s="59">
        <v>45</v>
      </c>
      <c r="Z78" s="70">
        <v>0.848993</v>
      </c>
      <c r="AA78" s="59">
        <v>214</v>
      </c>
      <c r="AB78" s="59">
        <v>45</v>
      </c>
      <c r="AC78" s="70">
        <v>0.82625400000000004</v>
      </c>
      <c r="AD78" s="59">
        <v>288</v>
      </c>
      <c r="AE78" s="59">
        <v>54</v>
      </c>
      <c r="AF78" s="70">
        <v>0.84210499999999999</v>
      </c>
    </row>
    <row r="79" spans="2:32" x14ac:dyDescent="0.2">
      <c r="B79" s="69" t="s">
        <v>23</v>
      </c>
      <c r="C79" s="59">
        <v>1042</v>
      </c>
      <c r="D79" s="59">
        <v>261</v>
      </c>
      <c r="E79" s="70">
        <v>0.79969299999999999</v>
      </c>
      <c r="F79" s="59">
        <v>1054</v>
      </c>
      <c r="G79" s="59">
        <v>232</v>
      </c>
      <c r="H79" s="70">
        <v>0.81959499999999996</v>
      </c>
      <c r="I79" s="59">
        <v>1033</v>
      </c>
      <c r="J79" s="59">
        <v>265</v>
      </c>
      <c r="K79" s="70">
        <v>0.79583899999999996</v>
      </c>
      <c r="L79" s="59">
        <v>1015</v>
      </c>
      <c r="M79" s="59">
        <v>262</v>
      </c>
      <c r="N79" s="70">
        <v>0.79483099999999995</v>
      </c>
      <c r="O79" s="59">
        <v>1083</v>
      </c>
      <c r="P79" s="59">
        <v>252</v>
      </c>
      <c r="Q79" s="70">
        <v>0.81123500000000004</v>
      </c>
      <c r="R79" s="59">
        <v>1047</v>
      </c>
      <c r="S79" s="59">
        <v>273</v>
      </c>
      <c r="T79" s="70">
        <v>0.79318100000000002</v>
      </c>
      <c r="U79" s="59">
        <v>1046</v>
      </c>
      <c r="V79" s="59">
        <v>262</v>
      </c>
      <c r="W79" s="70">
        <v>0.79969400000000002</v>
      </c>
      <c r="X79" s="59">
        <v>1074</v>
      </c>
      <c r="Y79" s="59">
        <v>268</v>
      </c>
      <c r="Z79" s="70">
        <v>0.80029799999999995</v>
      </c>
      <c r="AA79" s="59">
        <v>1102</v>
      </c>
      <c r="AB79" s="59">
        <v>242</v>
      </c>
      <c r="AC79" s="70">
        <v>0.81994</v>
      </c>
      <c r="AD79" s="59">
        <v>1018</v>
      </c>
      <c r="AE79" s="59">
        <v>270</v>
      </c>
      <c r="AF79" s="70">
        <v>0.79037199999999996</v>
      </c>
    </row>
    <row r="80" spans="2:32" x14ac:dyDescent="0.2">
      <c r="B80" s="69" t="s">
        <v>24</v>
      </c>
      <c r="C80" s="59">
        <v>1521</v>
      </c>
      <c r="D80" s="59">
        <v>187</v>
      </c>
      <c r="E80" s="70">
        <v>0.89051499999999995</v>
      </c>
      <c r="F80" s="59">
        <v>1528</v>
      </c>
      <c r="G80" s="59">
        <v>218</v>
      </c>
      <c r="H80" s="70">
        <v>0.875143</v>
      </c>
      <c r="I80" s="59">
        <v>1281</v>
      </c>
      <c r="J80" s="59">
        <v>199</v>
      </c>
      <c r="K80" s="70">
        <v>0.86553999999999998</v>
      </c>
      <c r="L80" s="59">
        <v>1346</v>
      </c>
      <c r="M80" s="59">
        <v>170</v>
      </c>
      <c r="N80" s="70">
        <v>0.88786200000000004</v>
      </c>
      <c r="O80" s="59">
        <v>22</v>
      </c>
      <c r="P80" s="59">
        <v>1445</v>
      </c>
      <c r="Q80" s="70">
        <v>1.4996000000000001E-2</v>
      </c>
      <c r="R80" s="59">
        <v>1210</v>
      </c>
      <c r="S80" s="59">
        <v>175</v>
      </c>
      <c r="T80" s="70">
        <v>0.87364600000000003</v>
      </c>
      <c r="U80" s="59">
        <v>1176</v>
      </c>
      <c r="V80" s="59">
        <v>202</v>
      </c>
      <c r="W80" s="70">
        <v>0.85341</v>
      </c>
      <c r="X80" s="59">
        <v>1009</v>
      </c>
      <c r="Y80" s="59">
        <v>201</v>
      </c>
      <c r="Z80" s="70">
        <v>0.83388399999999996</v>
      </c>
      <c r="AA80" s="59">
        <v>1169</v>
      </c>
      <c r="AB80" s="59">
        <v>183</v>
      </c>
      <c r="AC80" s="70">
        <v>0.86464399999999997</v>
      </c>
      <c r="AD80" s="59">
        <v>1088</v>
      </c>
      <c r="AE80" s="59">
        <v>206</v>
      </c>
      <c r="AF80" s="70">
        <v>0.84080299999999997</v>
      </c>
    </row>
    <row r="81" spans="2:32" x14ac:dyDescent="0.2">
      <c r="B81" s="69" t="s">
        <v>25</v>
      </c>
      <c r="C81" s="59">
        <v>1511</v>
      </c>
      <c r="D81" s="59">
        <v>63</v>
      </c>
      <c r="E81" s="70">
        <v>0.95997399999999999</v>
      </c>
      <c r="F81" s="59">
        <v>1460</v>
      </c>
      <c r="G81" s="59">
        <v>74</v>
      </c>
      <c r="H81" s="70">
        <v>0.95176000000000005</v>
      </c>
      <c r="I81" s="59">
        <v>1474</v>
      </c>
      <c r="J81" s="59">
        <v>70</v>
      </c>
      <c r="K81" s="70">
        <v>0.95466300000000004</v>
      </c>
      <c r="L81" s="59">
        <v>1339</v>
      </c>
      <c r="M81" s="59">
        <v>69</v>
      </c>
      <c r="N81" s="70">
        <v>0.95099400000000001</v>
      </c>
      <c r="O81" s="59">
        <v>1521</v>
      </c>
      <c r="P81" s="59">
        <v>65</v>
      </c>
      <c r="Q81" s="70">
        <v>0.95901599999999998</v>
      </c>
      <c r="R81" s="59">
        <v>1438</v>
      </c>
      <c r="S81" s="59">
        <v>85</v>
      </c>
      <c r="T81" s="70">
        <v>0.94418899999999994</v>
      </c>
      <c r="U81" s="59">
        <v>1482</v>
      </c>
      <c r="V81" s="59">
        <v>82</v>
      </c>
      <c r="W81" s="70">
        <v>0.94757000000000002</v>
      </c>
      <c r="X81" s="59">
        <v>1481</v>
      </c>
      <c r="Y81" s="59">
        <v>115</v>
      </c>
      <c r="Z81" s="70">
        <v>0.92794399999999999</v>
      </c>
      <c r="AA81" s="59">
        <v>1446</v>
      </c>
      <c r="AB81" s="59">
        <v>107</v>
      </c>
      <c r="AC81" s="70">
        <v>0.93110099999999996</v>
      </c>
      <c r="AD81" s="59">
        <v>1471</v>
      </c>
      <c r="AE81" s="59">
        <v>108</v>
      </c>
      <c r="AF81" s="70">
        <v>0.93160200000000004</v>
      </c>
    </row>
    <row r="82" spans="2:32" x14ac:dyDescent="0.2">
      <c r="B82" s="71" t="s">
        <v>26</v>
      </c>
      <c r="C82" s="62">
        <v>1864</v>
      </c>
      <c r="D82" s="62">
        <v>198</v>
      </c>
      <c r="E82" s="72">
        <v>0.903976</v>
      </c>
      <c r="F82" s="62">
        <v>2109</v>
      </c>
      <c r="G82" s="62">
        <v>174</v>
      </c>
      <c r="H82" s="72">
        <v>0.92378400000000005</v>
      </c>
      <c r="I82" s="62">
        <v>2135</v>
      </c>
      <c r="J82" s="62">
        <v>191</v>
      </c>
      <c r="K82" s="72">
        <v>0.91788400000000003</v>
      </c>
      <c r="L82" s="62">
        <v>2145</v>
      </c>
      <c r="M82" s="62">
        <v>147</v>
      </c>
      <c r="N82" s="72">
        <v>0.935863</v>
      </c>
      <c r="O82" s="62">
        <v>2190</v>
      </c>
      <c r="P82" s="62">
        <v>154</v>
      </c>
      <c r="Q82" s="72">
        <v>0.93430000000000002</v>
      </c>
      <c r="R82" s="62">
        <v>2168</v>
      </c>
      <c r="S82" s="62">
        <v>213</v>
      </c>
      <c r="T82" s="72">
        <v>0.91054100000000004</v>
      </c>
      <c r="U82" s="62">
        <v>2222</v>
      </c>
      <c r="V82" s="62">
        <v>219</v>
      </c>
      <c r="W82" s="72">
        <v>0.91028200000000004</v>
      </c>
      <c r="X82" s="62">
        <v>2341</v>
      </c>
      <c r="Y82" s="62">
        <v>279</v>
      </c>
      <c r="Z82" s="72">
        <v>0.89351100000000006</v>
      </c>
      <c r="AA82" s="62">
        <v>2454</v>
      </c>
      <c r="AB82" s="62">
        <v>317</v>
      </c>
      <c r="AC82" s="72">
        <v>0.88560000000000005</v>
      </c>
      <c r="AD82" s="62">
        <v>2529</v>
      </c>
      <c r="AE82" s="62">
        <v>331</v>
      </c>
      <c r="AF82" s="72">
        <v>0.88426499999999997</v>
      </c>
    </row>
    <row r="83" spans="2:32" x14ac:dyDescent="0.2">
      <c r="B83" s="20" t="s">
        <v>27</v>
      </c>
      <c r="C83" s="21">
        <f>SUBTOTAL(109,'On-Campus Enrollment Trend'!$C$69:$C$82)</f>
        <v>17440</v>
      </c>
      <c r="D83" s="21">
        <f>SUBTOTAL(109,'On-Campus Enrollment Trend'!$D$69:$D$82)</f>
        <v>2909</v>
      </c>
      <c r="E83" s="22">
        <f>'On-Campus Enrollment Trend'!$C$83 / ('On-Campus Enrollment Trend'!$D$83 + 'On-Campus Enrollment Trend'!$C$83)</f>
        <v>0.85704457221485086</v>
      </c>
      <c r="F83" s="21">
        <f>SUBTOTAL(109,'On-Campus Enrollment Trend'!$F$69:$F$82)</f>
        <v>17179</v>
      </c>
      <c r="G83" s="21">
        <f>SUBTOTAL(109,'On-Campus Enrollment Trend'!$G$69:$G$82)</f>
        <v>2940</v>
      </c>
      <c r="H83" s="22">
        <f>'On-Campus Enrollment Trend'!$F$83 / ('On-Campus Enrollment Trend'!$G$83 +'On-Campus Enrollment Trend'!$F$83)</f>
        <v>0.85386947661414581</v>
      </c>
      <c r="I83" s="21">
        <f>SUBTOTAL(109,'On-Campus Enrollment Trend'!$I$69:$I$82)</f>
        <v>15825</v>
      </c>
      <c r="J83" s="21">
        <f>SUBTOTAL(109,'On-Campus Enrollment Trend'!$J$69:$J$82)</f>
        <v>3261</v>
      </c>
      <c r="K83" s="22">
        <f>'On-Campus Enrollment Trend'!$I$83 / ('On-Campus Enrollment Trend'!$J$83 + 'On-Campus Enrollment Trend'!$I$83)</f>
        <v>0.82914177931468092</v>
      </c>
      <c r="L83" s="21">
        <f>SUBTOTAL(109,'On-Campus Enrollment Trend'!$L$69:$L$82)</f>
        <v>15680</v>
      </c>
      <c r="M83" s="21">
        <f>SUBTOTAL(109,'On-Campus Enrollment Trend'!$M$69:$M$82)</f>
        <v>3168</v>
      </c>
      <c r="N83" s="22">
        <f>'On-Campus Enrollment Trend'!$L$83 / ('On-Campus Enrollment Trend'!$M$83 +'On-Campus Enrollment Trend'!$L$83)</f>
        <v>0.83191850594227501</v>
      </c>
      <c r="O83" s="21">
        <f>SUBTOTAL(109,'On-Campus Enrollment Trend'!$O$69:$O$82)</f>
        <v>14446</v>
      </c>
      <c r="P83" s="21">
        <f>SUBTOTAL(109,'On-Campus Enrollment Trend'!$P$69:$P$82)</f>
        <v>4307</v>
      </c>
      <c r="Q83" s="22">
        <f>'On-Campus Enrollment Trend'!$O$83 / ('On-Campus Enrollment Trend'!$P$83 +'On-Campus Enrollment Trend'!$O$83)</f>
        <v>0.77033008052045004</v>
      </c>
      <c r="R83" s="21">
        <f>SUBTOTAL(109,'On-Campus Enrollment Trend'!$R$69:$R$82)</f>
        <v>15340</v>
      </c>
      <c r="S83" s="21">
        <f>SUBTOTAL(109,'On-Campus Enrollment Trend'!$S$69:$S$82)</f>
        <v>2874</v>
      </c>
      <c r="T83" s="22">
        <f xml:space="preserve"> 'On-Campus Enrollment Trend'!$R$83 /('On-Campus Enrollment Trend'!$S$83 +'On-Campus Enrollment Trend'!$R$83)</f>
        <v>0.84220928955748331</v>
      </c>
      <c r="U83" s="21">
        <f>SUBTOTAL(109,'On-Campus Enrollment Trend'!$U$69:$U$82)</f>
        <v>13580</v>
      </c>
      <c r="V83" s="21">
        <f>SUBTOTAL(109,'On-Campus Enrollment Trend'!$V$69:$V$82)</f>
        <v>3928</v>
      </c>
      <c r="W83" s="22">
        <f>'On-Campus Enrollment Trend'!$U$83 / ('On-Campus Enrollment Trend'!$V$83 + 'On-Campus Enrollment Trend'!$U$83)</f>
        <v>0.77564541923692032</v>
      </c>
      <c r="X83" s="21">
        <f>SUBTOTAL(109,'On-Campus Enrollment Trend'!$X$69:$X$82)</f>
        <v>14260</v>
      </c>
      <c r="Y83" s="21">
        <f>SUBTOTAL(109,'On-Campus Enrollment Trend'!$Y$69:$Y$82)</f>
        <v>3073</v>
      </c>
      <c r="Z83" s="22">
        <f>'On-Campus Enrollment Trend'!$X$83 / ('On-Campus Enrollment Trend'!$Y$83 +'On-Campus Enrollment Trend'!$X$83)</f>
        <v>0.8227081290024808</v>
      </c>
      <c r="AA83" s="21">
        <f>SUBTOTAL(109,'On-Campus Enrollment Trend'!$AA$69:$AA$82)</f>
        <v>13641</v>
      </c>
      <c r="AB83" s="21">
        <f>SUBTOTAL(109,'On-Campus Enrollment Trend'!$AB$69:$AB$82)</f>
        <v>3036</v>
      </c>
      <c r="AC83" s="22">
        <f xml:space="preserve"> 'On-Campus Enrollment Trend'!$AA$83 / ('On-Campus Enrollment Trend'!$AB$83 +'On-Campus Enrollment Trend'!$AA$83)</f>
        <v>0.8179528692210829</v>
      </c>
      <c r="AD83" s="21">
        <f>SUBTOTAL(109,'On-Campus Enrollment Trend'!$AD$69:$AD$82)</f>
        <v>13745</v>
      </c>
      <c r="AE83" s="21">
        <f>SUBTOTAL(109,'On-Campus Enrollment Trend'!$AE$69:$AE$82)</f>
        <v>2882</v>
      </c>
      <c r="AF83" s="22">
        <f>'On-Campus Enrollment Trend'!$AD$83 / ('On-Campus Enrollment Trend'!$AE$83 +'On-Campus Enrollment Trend'!$AD$83)</f>
        <v>0.82666746857520901</v>
      </c>
    </row>
  </sheetData>
  <mergeCells count="49">
    <mergeCell ref="U45:W45"/>
    <mergeCell ref="X45:Z45"/>
    <mergeCell ref="AA45:AC45"/>
    <mergeCell ref="AD45:AF45"/>
    <mergeCell ref="X24:Z24"/>
    <mergeCell ref="AA24:AC24"/>
    <mergeCell ref="AD24:AF24"/>
    <mergeCell ref="B44:AF44"/>
    <mergeCell ref="C45:E45"/>
    <mergeCell ref="F45:H45"/>
    <mergeCell ref="I45:K45"/>
    <mergeCell ref="L45:N45"/>
    <mergeCell ref="O45:Q45"/>
    <mergeCell ref="R45:T45"/>
    <mergeCell ref="B45:B46"/>
    <mergeCell ref="B23:AF23"/>
    <mergeCell ref="C24:E24"/>
    <mergeCell ref="F24:H24"/>
    <mergeCell ref="I24:K24"/>
    <mergeCell ref="L24:N24"/>
    <mergeCell ref="O24:Q24"/>
    <mergeCell ref="R24:T24"/>
    <mergeCell ref="U24:W24"/>
    <mergeCell ref="B24:B25"/>
    <mergeCell ref="B1:AF1"/>
    <mergeCell ref="B2:AF2"/>
    <mergeCell ref="C3:E3"/>
    <mergeCell ref="F3:H3"/>
    <mergeCell ref="I3:K3"/>
    <mergeCell ref="L3:N3"/>
    <mergeCell ref="O3:Q3"/>
    <mergeCell ref="R3:T3"/>
    <mergeCell ref="U3:W3"/>
    <mergeCell ref="X3:Z3"/>
    <mergeCell ref="AA3:AC3"/>
    <mergeCell ref="AD3:AF3"/>
    <mergeCell ref="B3:B4"/>
    <mergeCell ref="B65:AF65"/>
    <mergeCell ref="C66:E66"/>
    <mergeCell ref="F66:H66"/>
    <mergeCell ref="I66:K66"/>
    <mergeCell ref="L66:N66"/>
    <mergeCell ref="O66:Q66"/>
    <mergeCell ref="R66:T66"/>
    <mergeCell ref="U66:W66"/>
    <mergeCell ref="X66:Z66"/>
    <mergeCell ref="AA66:AC66"/>
    <mergeCell ref="AD66:AF66"/>
    <mergeCell ref="B66:B67"/>
  </mergeCells>
  <printOptions horizontalCentered="1"/>
  <pageMargins left="0.5" right="0.5" top="1" bottom="0.5" header="0.3" footer="0.3"/>
  <pageSetup paperSize="17" scale="59" fitToHeight="0" orientation="landscape" r:id="rId1"/>
  <headerFooter>
    <oddHeader>&amp;L&amp;"Arial,Regular"&amp;10Pennsylvania's State System of Higher Education | &amp;D
Office of Educational Intelligence | 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L100"/>
  <sheetViews>
    <sheetView zoomScaleNormal="100" workbookViewId="0">
      <selection activeCell="D108" sqref="D108"/>
    </sheetView>
  </sheetViews>
  <sheetFormatPr defaultRowHeight="14.25" x14ac:dyDescent="0.2"/>
  <cols>
    <col min="1" max="1" width="9.140625" style="5"/>
    <col min="2" max="2" width="19.5703125" style="5" bestFit="1" customWidth="1"/>
    <col min="3" max="11" width="9.140625" style="5" bestFit="1" customWidth="1"/>
    <col min="12" max="12" width="10.28515625" style="5" bestFit="1" customWidth="1"/>
    <col min="13" max="21" width="16.7109375" style="5" customWidth="1"/>
    <col min="22" max="22" width="14.7109375" style="5" customWidth="1"/>
    <col min="23" max="29" width="7.28515625" style="5" bestFit="1" customWidth="1"/>
    <col min="30" max="30" width="7.28515625" style="5" customWidth="1"/>
    <col min="31" max="31" width="7.28515625" style="5" bestFit="1" customWidth="1"/>
    <col min="32" max="32" width="7.28515625" style="5" customWidth="1"/>
    <col min="33" max="33" width="7.28515625" style="5" bestFit="1" customWidth="1"/>
    <col min="34" max="16384" width="9.140625" style="5"/>
  </cols>
  <sheetData>
    <row r="1" spans="2:12" ht="15" x14ac:dyDescent="0.2">
      <c r="B1" s="130" t="s">
        <v>0</v>
      </c>
      <c r="C1" s="130"/>
      <c r="D1" s="130"/>
      <c r="E1" s="130"/>
      <c r="F1" s="130"/>
      <c r="G1" s="130"/>
      <c r="H1" s="130"/>
      <c r="I1" s="130"/>
      <c r="J1" s="129"/>
      <c r="K1" s="129"/>
      <c r="L1" s="129"/>
    </row>
    <row r="2" spans="2:12" ht="15" x14ac:dyDescent="0.2">
      <c r="B2" s="128" t="str">
        <f>CONCATENATE("New Freshmen Enrollment ", IF(RIGHT(Parameters!B1,1) = "1","Fall ", "Spring "),IF(RIGHT(Parameters!B1,1)  = "1",LEFT(Parameters!B1,4) -9, LEFT(Parameters!B1,4)-8 ),"-",IF(RIGHT(Parameters!B1,1)  = "1",LEFT(Parameters!B1,4), LEFT(Parameters!B1,4)+1 ))</f>
        <v>New Freshmen Enrollment Fall 2010-2019</v>
      </c>
      <c r="C2" s="128"/>
      <c r="D2" s="128"/>
      <c r="E2" s="128"/>
      <c r="F2" s="128"/>
      <c r="G2" s="128"/>
      <c r="H2" s="128"/>
      <c r="I2" s="128"/>
      <c r="J2" s="129"/>
      <c r="K2" s="129"/>
      <c r="L2" s="129"/>
    </row>
    <row r="3" spans="2:12" ht="30.95" customHeight="1" x14ac:dyDescent="0.2">
      <c r="B3" s="52" t="s">
        <v>1</v>
      </c>
      <c r="C3" s="52" t="str">
        <f>CONCATENATE(IF(RIGHT(Parameters!B1,1) = "1","Fall ", "Spring "),IF(RIGHT(Parameters!B1,1) = "1",LEFT(Parameters!B1,4) -9, LEFT(Parameters!B1,4) - 8))</f>
        <v>Fall 2010</v>
      </c>
      <c r="D3" s="52" t="str">
        <f>CONCATENATE(IF(RIGHT(Parameters!B1,1) = "1","Fall ", "Spring "),IF(RIGHT(Parameters!B1,1) = "1",LEFT(Parameters!B1,4) -8, LEFT(Parameters!B1,4) - 7))</f>
        <v>Fall 2011</v>
      </c>
      <c r="E3" s="52" t="str">
        <f>CONCATENATE(IF(RIGHT(Parameters!B1,1) = "1","Fall ", "Spring "),IF(RIGHT(Parameters!B1,1) = "1",LEFT(Parameters!B1,4) -7, LEFT(Parameters!B1,4) - 6))</f>
        <v>Fall 2012</v>
      </c>
      <c r="F3" s="52" t="str">
        <f>CONCATENATE(IF(RIGHT(Parameters!B1,1) = "1","Fall ", "Spring "),IF(RIGHT(Parameters!B1,1) = "1",LEFT(Parameters!B1,4) -6, LEFT(Parameters!B1,4) - 5))</f>
        <v>Fall 2013</v>
      </c>
      <c r="G3" s="52" t="str">
        <f>CONCATENATE(IF(RIGHT(Parameters!B1,1) = "1","Fall ", "Spring "),IF(RIGHT(Parameters!B1,1) = "1",LEFT(Parameters!B1,4) -5, LEFT(Parameters!B1,4) - 4))</f>
        <v>Fall 2014</v>
      </c>
      <c r="H3" s="52" t="str">
        <f>CONCATENATE(IF(RIGHT(Parameters!B1,1) = "1","Fall ", "Spring "),IF(RIGHT(Parameters!B1,1) = "1",LEFT(Parameters!B1,4) -4, LEFT(Parameters!B1,4) - 3))</f>
        <v>Fall 2015</v>
      </c>
      <c r="I3" s="52" t="str">
        <f>CONCATENATE(IF(RIGHT(Parameters!B1,1) = "1","Fall ", "Spring "),IF(RIGHT(Parameters!B1,1) = "1",LEFT(Parameters!B1,4) -3, LEFT(Parameters!B1,4) - 2))</f>
        <v>Fall 2016</v>
      </c>
      <c r="J3" s="52" t="str">
        <f>CONCATENATE(IF(RIGHT(Parameters!B1,1) = "1","Fall ", "Spring "),IF(RIGHT(Parameters!B1,1) = "1",LEFT(Parameters!B1,4) -2, LEFT(Parameters!B1,4) - 1))</f>
        <v>Fall 2017</v>
      </c>
      <c r="K3" s="52" t="str">
        <f>CONCATENATE(IF(RIGHT(Parameters!B1,1) = "1","Fall ", "Spring "),IF(RIGHT(Parameters!B1,1) = "1",LEFT(Parameters!B1,4)-1, LEFT(Parameters!B1,4) ))</f>
        <v>Fall 2018</v>
      </c>
      <c r="L3" s="52" t="str">
        <f>CONCATENATE(IF(RIGHT(Parameters!B1,1) = "1","Fall ", "Spring "),IF(RIGHT(Parameters!B1,1) = "1",LEFT(Parameters!B1,4), LEFT(Parameters!B1,4) + 1))</f>
        <v>Fall 2019</v>
      </c>
    </row>
    <row r="4" spans="2:12" ht="16.5" hidden="1" customHeight="1" x14ac:dyDescent="0.2">
      <c r="B4" s="26" t="s">
        <v>2</v>
      </c>
      <c r="C4" s="26" t="s">
        <v>3</v>
      </c>
      <c r="D4" s="26" t="s">
        <v>4</v>
      </c>
      <c r="E4" s="26" t="s">
        <v>5</v>
      </c>
      <c r="F4" s="26" t="s">
        <v>6</v>
      </c>
      <c r="G4" s="26" t="s">
        <v>7</v>
      </c>
      <c r="H4" s="26" t="s">
        <v>8</v>
      </c>
      <c r="I4" s="26" t="s">
        <v>9</v>
      </c>
      <c r="J4" s="26" t="s">
        <v>10</v>
      </c>
      <c r="K4" s="26" t="s">
        <v>11</v>
      </c>
      <c r="L4" s="26" t="s">
        <v>12</v>
      </c>
    </row>
    <row r="5" spans="2:12" x14ac:dyDescent="0.2">
      <c r="B5" s="56" t="s">
        <v>13</v>
      </c>
      <c r="C5" s="57">
        <v>2140</v>
      </c>
      <c r="D5" s="57">
        <v>1981</v>
      </c>
      <c r="E5" s="57">
        <v>1924</v>
      </c>
      <c r="F5" s="57">
        <v>2218</v>
      </c>
      <c r="G5" s="57">
        <v>2171</v>
      </c>
      <c r="H5" s="57">
        <v>2110</v>
      </c>
      <c r="I5" s="57">
        <v>1902</v>
      </c>
      <c r="J5" s="57">
        <v>1860</v>
      </c>
      <c r="K5" s="57">
        <v>1848</v>
      </c>
      <c r="L5" s="57">
        <v>1982</v>
      </c>
    </row>
    <row r="6" spans="2:12" x14ac:dyDescent="0.2">
      <c r="B6" s="58" t="s">
        <v>14</v>
      </c>
      <c r="C6" s="59">
        <v>1361</v>
      </c>
      <c r="D6" s="59">
        <v>1281</v>
      </c>
      <c r="E6" s="59">
        <v>952</v>
      </c>
      <c r="F6" s="59">
        <v>1083</v>
      </c>
      <c r="G6" s="59">
        <v>1026</v>
      </c>
      <c r="H6" s="59">
        <v>929</v>
      </c>
      <c r="I6" s="59">
        <v>896</v>
      </c>
      <c r="J6" s="59">
        <v>984</v>
      </c>
      <c r="K6" s="59">
        <v>992</v>
      </c>
      <c r="L6" s="59">
        <v>954</v>
      </c>
    </row>
    <row r="7" spans="2:12" x14ac:dyDescent="0.2">
      <c r="B7" s="58" t="s">
        <v>15</v>
      </c>
      <c r="C7" s="59">
        <v>484</v>
      </c>
      <c r="D7" s="59">
        <v>204</v>
      </c>
      <c r="E7" s="59">
        <v>316</v>
      </c>
      <c r="F7" s="59">
        <v>346</v>
      </c>
      <c r="G7" s="59">
        <v>231</v>
      </c>
      <c r="H7" s="59">
        <v>101</v>
      </c>
      <c r="I7" s="59">
        <v>181</v>
      </c>
      <c r="J7" s="59">
        <v>214</v>
      </c>
      <c r="K7" s="59">
        <v>102</v>
      </c>
      <c r="L7" s="59">
        <v>213</v>
      </c>
    </row>
    <row r="8" spans="2:12" x14ac:dyDescent="0.2">
      <c r="B8" s="58" t="s">
        <v>16</v>
      </c>
      <c r="C8" s="59">
        <v>1366</v>
      </c>
      <c r="D8" s="59">
        <v>1230</v>
      </c>
      <c r="E8" s="59">
        <v>1132</v>
      </c>
      <c r="F8" s="59">
        <v>996</v>
      </c>
      <c r="G8" s="59">
        <v>893</v>
      </c>
      <c r="H8" s="59">
        <v>942</v>
      </c>
      <c r="I8" s="59">
        <v>941</v>
      </c>
      <c r="J8" s="59">
        <v>875</v>
      </c>
      <c r="K8" s="59">
        <v>726</v>
      </c>
      <c r="L8" s="59">
        <v>755</v>
      </c>
    </row>
    <row r="9" spans="2:12" x14ac:dyDescent="0.2">
      <c r="B9" s="58" t="s">
        <v>17</v>
      </c>
      <c r="C9" s="59">
        <v>1158</v>
      </c>
      <c r="D9" s="59">
        <v>1412</v>
      </c>
      <c r="E9" s="59">
        <v>1273</v>
      </c>
      <c r="F9" s="59">
        <v>1212</v>
      </c>
      <c r="G9" s="59">
        <v>1287</v>
      </c>
      <c r="H9" s="59">
        <v>1307</v>
      </c>
      <c r="I9" s="59">
        <v>1305</v>
      </c>
      <c r="J9" s="59">
        <v>1292</v>
      </c>
      <c r="K9" s="59">
        <v>1137</v>
      </c>
      <c r="L9" s="59">
        <v>1127</v>
      </c>
    </row>
    <row r="10" spans="2:12" x14ac:dyDescent="0.2">
      <c r="B10" s="58" t="s">
        <v>18</v>
      </c>
      <c r="C10" s="59">
        <v>1575</v>
      </c>
      <c r="D10" s="59">
        <v>1512</v>
      </c>
      <c r="E10" s="59">
        <v>1235</v>
      </c>
      <c r="F10" s="59">
        <v>1086</v>
      </c>
      <c r="G10" s="59">
        <v>1238</v>
      </c>
      <c r="H10" s="59">
        <v>1219</v>
      </c>
      <c r="I10" s="59">
        <v>1034</v>
      </c>
      <c r="J10" s="59">
        <v>846</v>
      </c>
      <c r="K10" s="59">
        <v>598</v>
      </c>
      <c r="L10" s="59">
        <v>706</v>
      </c>
    </row>
    <row r="11" spans="2:12" x14ac:dyDescent="0.2">
      <c r="B11" s="58" t="s">
        <v>19</v>
      </c>
      <c r="C11" s="59">
        <v>2995</v>
      </c>
      <c r="D11" s="59">
        <v>2922</v>
      </c>
      <c r="E11" s="59">
        <v>2934</v>
      </c>
      <c r="F11" s="59">
        <v>2657</v>
      </c>
      <c r="G11" s="59">
        <v>2733</v>
      </c>
      <c r="H11" s="59">
        <v>2481</v>
      </c>
      <c r="I11" s="59">
        <v>2200</v>
      </c>
      <c r="J11" s="59">
        <v>2329</v>
      </c>
      <c r="K11" s="59">
        <v>1986</v>
      </c>
      <c r="L11" s="59">
        <v>1779</v>
      </c>
    </row>
    <row r="12" spans="2:12" x14ac:dyDescent="0.2">
      <c r="B12" s="58" t="s">
        <v>20</v>
      </c>
      <c r="C12" s="59">
        <v>2013</v>
      </c>
      <c r="D12" s="59">
        <v>2037</v>
      </c>
      <c r="E12" s="59">
        <v>1997</v>
      </c>
      <c r="F12" s="59">
        <v>1814</v>
      </c>
      <c r="G12" s="59">
        <v>1781</v>
      </c>
      <c r="H12" s="59">
        <v>1863</v>
      </c>
      <c r="I12" s="59">
        <v>1693</v>
      </c>
      <c r="J12" s="59">
        <v>1605</v>
      </c>
      <c r="K12" s="59">
        <v>1641</v>
      </c>
      <c r="L12" s="59">
        <v>1398</v>
      </c>
    </row>
    <row r="13" spans="2:12" x14ac:dyDescent="0.2">
      <c r="B13" s="58" t="s">
        <v>21</v>
      </c>
      <c r="C13" s="59">
        <v>1194</v>
      </c>
      <c r="D13" s="59">
        <v>1236</v>
      </c>
      <c r="E13" s="59">
        <v>1155</v>
      </c>
      <c r="F13" s="59">
        <v>1086</v>
      </c>
      <c r="G13" s="59">
        <v>935</v>
      </c>
      <c r="H13" s="59">
        <v>884</v>
      </c>
      <c r="I13" s="59">
        <v>828</v>
      </c>
      <c r="J13" s="59">
        <v>790</v>
      </c>
      <c r="K13" s="59">
        <v>692</v>
      </c>
      <c r="L13" s="59">
        <v>598</v>
      </c>
    </row>
    <row r="14" spans="2:12" x14ac:dyDescent="0.2">
      <c r="B14" s="58" t="s">
        <v>22</v>
      </c>
      <c r="C14" s="59">
        <v>640</v>
      </c>
      <c r="D14" s="59">
        <v>624</v>
      </c>
      <c r="E14" s="59">
        <v>587</v>
      </c>
      <c r="F14" s="59">
        <v>628</v>
      </c>
      <c r="G14" s="59">
        <v>550</v>
      </c>
      <c r="H14" s="59">
        <v>417</v>
      </c>
      <c r="I14" s="59">
        <v>450</v>
      </c>
      <c r="J14" s="59">
        <v>379</v>
      </c>
      <c r="K14" s="59">
        <v>327</v>
      </c>
      <c r="L14" s="59">
        <v>450</v>
      </c>
    </row>
    <row r="15" spans="2:12" x14ac:dyDescent="0.2">
      <c r="B15" s="58" t="s">
        <v>23</v>
      </c>
      <c r="C15" s="59">
        <v>1322</v>
      </c>
      <c r="D15" s="59">
        <v>1304</v>
      </c>
      <c r="E15" s="59">
        <v>1318</v>
      </c>
      <c r="F15" s="59">
        <v>1299</v>
      </c>
      <c r="G15" s="59">
        <v>1358</v>
      </c>
      <c r="H15" s="59">
        <v>1336</v>
      </c>
      <c r="I15" s="59">
        <v>1327</v>
      </c>
      <c r="J15" s="59">
        <v>1351</v>
      </c>
      <c r="K15" s="59">
        <v>1367</v>
      </c>
      <c r="L15" s="59">
        <v>1334</v>
      </c>
    </row>
    <row r="16" spans="2:12" x14ac:dyDescent="0.2">
      <c r="B16" s="58" t="s">
        <v>24</v>
      </c>
      <c r="C16" s="59">
        <v>1712</v>
      </c>
      <c r="D16" s="59">
        <v>1752</v>
      </c>
      <c r="E16" s="59">
        <v>1485</v>
      </c>
      <c r="F16" s="59">
        <v>1522</v>
      </c>
      <c r="G16" s="59">
        <v>1474</v>
      </c>
      <c r="H16" s="59">
        <v>1391</v>
      </c>
      <c r="I16" s="59">
        <v>1381</v>
      </c>
      <c r="J16" s="59">
        <v>1219</v>
      </c>
      <c r="K16" s="59">
        <v>1357</v>
      </c>
      <c r="L16" s="59">
        <v>1301</v>
      </c>
    </row>
    <row r="17" spans="2:12" x14ac:dyDescent="0.2">
      <c r="B17" s="58" t="s">
        <v>25</v>
      </c>
      <c r="C17" s="59">
        <v>1574</v>
      </c>
      <c r="D17" s="59">
        <v>1536</v>
      </c>
      <c r="E17" s="59">
        <v>1546</v>
      </c>
      <c r="F17" s="59">
        <v>1408</v>
      </c>
      <c r="G17" s="59">
        <v>1586</v>
      </c>
      <c r="H17" s="59">
        <v>1524</v>
      </c>
      <c r="I17" s="59">
        <v>1564</v>
      </c>
      <c r="J17" s="59">
        <v>1597</v>
      </c>
      <c r="K17" s="59">
        <v>1554</v>
      </c>
      <c r="L17" s="59">
        <v>1580</v>
      </c>
    </row>
    <row r="18" spans="2:12" x14ac:dyDescent="0.2">
      <c r="B18" s="61" t="s">
        <v>26</v>
      </c>
      <c r="C18" s="62">
        <v>2067</v>
      </c>
      <c r="D18" s="62">
        <v>2292</v>
      </c>
      <c r="E18" s="62">
        <v>2334</v>
      </c>
      <c r="F18" s="62">
        <v>2298</v>
      </c>
      <c r="G18" s="62">
        <v>2351</v>
      </c>
      <c r="H18" s="62">
        <v>2395</v>
      </c>
      <c r="I18" s="62">
        <v>2454</v>
      </c>
      <c r="J18" s="62">
        <v>2630</v>
      </c>
      <c r="K18" s="62">
        <v>2777</v>
      </c>
      <c r="L18" s="62">
        <v>2871</v>
      </c>
    </row>
    <row r="19" spans="2:12" x14ac:dyDescent="0.2">
      <c r="B19" s="20" t="s">
        <v>27</v>
      </c>
      <c r="C19" s="21">
        <f>SUBTOTAL(109,'Undergrad Breakdown Trend'!$C$5:$C$18)</f>
        <v>21601</v>
      </c>
      <c r="D19" s="21">
        <f>SUBTOTAL(109,'Undergrad Breakdown Trend'!$D$5:$D$18)</f>
        <v>21323</v>
      </c>
      <c r="E19" s="21">
        <f>SUBTOTAL(109,'Undergrad Breakdown Trend'!$E$5:$E$18)</f>
        <v>20188</v>
      </c>
      <c r="F19" s="21">
        <f>SUBTOTAL(109,'Undergrad Breakdown Trend'!$F$5:$F$18)</f>
        <v>19653</v>
      </c>
      <c r="G19" s="21">
        <f>SUBTOTAL(109,'Undergrad Breakdown Trend'!$G$5:$G$18)</f>
        <v>19614</v>
      </c>
      <c r="H19" s="21">
        <f>SUBTOTAL(109,'Undergrad Breakdown Trend'!$H$5:$H$18)</f>
        <v>18899</v>
      </c>
      <c r="I19" s="21">
        <f>SUBTOTAL(109,'Undergrad Breakdown Trend'!$I$5:$I$18)</f>
        <v>18156</v>
      </c>
      <c r="J19" s="21">
        <f>SUBTOTAL(109,'Undergrad Breakdown Trend'!$J$5:$J$18)</f>
        <v>17971</v>
      </c>
      <c r="K19" s="21">
        <f>SUBTOTAL(109,'Undergrad Breakdown Trend'!$K$5:$K$18)</f>
        <v>17104</v>
      </c>
      <c r="L19" s="21">
        <f>SUBTOTAL(109,'Undergrad Breakdown Trend'!$L$5:$L$18)</f>
        <v>17048</v>
      </c>
    </row>
    <row r="22" spans="2:12" ht="15" x14ac:dyDescent="0.2">
      <c r="B22" s="128" t="str">
        <f>CONCATENATE("Transfer Enrollment ", IF(RIGHT(Parameters!B1,1) = "1","Fall ", "Spring "),IF(RIGHT(Parameters!B1,1)  = "1",LEFT(Parameters!B1,4) -9, LEFT(Parameters!B1,4)-8 ),"-",IF(RIGHT(Parameters!B1,1)  = "1",LEFT(Parameters!B1,4), LEFT(Parameters!B1,4)+1 ))</f>
        <v>Transfer Enrollment Fall 2010-2019</v>
      </c>
      <c r="C22" s="128"/>
      <c r="D22" s="128"/>
      <c r="E22" s="128"/>
      <c r="F22" s="128"/>
      <c r="G22" s="128"/>
      <c r="H22" s="128"/>
      <c r="I22" s="128"/>
      <c r="J22" s="129"/>
      <c r="K22" s="129"/>
      <c r="L22" s="129"/>
    </row>
    <row r="23" spans="2:12" ht="30.95" customHeight="1" x14ac:dyDescent="0.2">
      <c r="B23" s="52" t="s">
        <v>1</v>
      </c>
      <c r="C23" s="52" t="str">
        <f>CONCATENATE(IF(RIGHT(Parameters!B1,1) = "1","Fall ", "Spring "),IF(RIGHT(Parameters!B1,1) = "1",LEFT(Parameters!B1,4) -9, LEFT(Parameters!B1,4) - 8))</f>
        <v>Fall 2010</v>
      </c>
      <c r="D23" s="52" t="str">
        <f>CONCATENATE(IF(RIGHT(Parameters!B1,1) = "1","Fall ", "Spring "),IF(RIGHT(Parameters!B1,1) = "1",LEFT(Parameters!B1,4) -8, LEFT(Parameters!B1,4) - 7))</f>
        <v>Fall 2011</v>
      </c>
      <c r="E23" s="52" t="str">
        <f>CONCATENATE(IF(RIGHT(Parameters!B1,1) = "1","Fall ", "Spring "),IF(RIGHT(Parameters!B1,1) = "1",LEFT(Parameters!B1,4) -7, LEFT(Parameters!B1,4) - 6))</f>
        <v>Fall 2012</v>
      </c>
      <c r="F23" s="52" t="str">
        <f>CONCATENATE(IF(RIGHT(Parameters!B1,1) = "1","Fall ", "Spring "),IF(RIGHT(Parameters!B1,1) = "1",LEFT(Parameters!B1,4) -6, LEFT(Parameters!B1,4) - 5))</f>
        <v>Fall 2013</v>
      </c>
      <c r="G23" s="52" t="str">
        <f>CONCATENATE(IF(RIGHT(Parameters!B1,1) = "1","Fall ", "Spring "),IF(RIGHT(Parameters!B1,1) = "1",LEFT(Parameters!B1,4) -5, LEFT(Parameters!B1,4) - 4))</f>
        <v>Fall 2014</v>
      </c>
      <c r="H23" s="52" t="str">
        <f>CONCATENATE(IF(RIGHT(Parameters!B1,1) = "1","Fall ", "Spring "),IF(RIGHT(Parameters!B1,1) = "1",LEFT(Parameters!B1,4) -4, LEFT(Parameters!B1,4) - 3))</f>
        <v>Fall 2015</v>
      </c>
      <c r="I23" s="52" t="str">
        <f>CONCATENATE(IF(RIGHT(Parameters!B1,1) = "1","Fall ", "Spring "),IF(RIGHT(Parameters!B1,1) = "1",LEFT(Parameters!B1,4) -3, LEFT(Parameters!B1,4) - 2))</f>
        <v>Fall 2016</v>
      </c>
      <c r="J23" s="52" t="str">
        <f>CONCATENATE(IF(RIGHT(Parameters!B1,1) = "1","Fall ", "Spring "),IF(RIGHT(Parameters!B1,1) = "1",LEFT(Parameters!B1,4) -2, LEFT(Parameters!B1,4) - 1))</f>
        <v>Fall 2017</v>
      </c>
      <c r="K23" s="52" t="str">
        <f>CONCATENATE(IF(RIGHT(Parameters!B1,1) = "1","Fall ", "Spring "),IF(RIGHT(Parameters!B1,1) = "1",LEFT(Parameters!B1,4)-1, LEFT(Parameters!B1,4) ))</f>
        <v>Fall 2018</v>
      </c>
      <c r="L23" s="52" t="str">
        <f>CONCATENATE(IF(RIGHT(Parameters!B1,1) = "1","Fall ", "Spring "),IF(RIGHT(Parameters!B1,1) = "1",LEFT(Parameters!B1,4), LEFT(Parameters!B1,4) + 1))</f>
        <v>Fall 2019</v>
      </c>
    </row>
    <row r="24" spans="2:12" ht="15" hidden="1" customHeight="1" x14ac:dyDescent="0.2">
      <c r="B24" s="63" t="s">
        <v>2</v>
      </c>
      <c r="C24" s="63" t="s">
        <v>3</v>
      </c>
      <c r="D24" s="63" t="s">
        <v>4</v>
      </c>
      <c r="E24" s="63" t="s">
        <v>5</v>
      </c>
      <c r="F24" s="63" t="s">
        <v>6</v>
      </c>
      <c r="G24" s="63" t="s">
        <v>7</v>
      </c>
      <c r="H24" s="63" t="s">
        <v>8</v>
      </c>
      <c r="I24" s="63" t="s">
        <v>9</v>
      </c>
      <c r="J24" s="63" t="s">
        <v>10</v>
      </c>
      <c r="K24" s="63" t="s">
        <v>11</v>
      </c>
      <c r="L24" s="63" t="s">
        <v>12</v>
      </c>
    </row>
    <row r="25" spans="2:12" x14ac:dyDescent="0.2">
      <c r="B25" s="56" t="s">
        <v>13</v>
      </c>
      <c r="C25" s="57">
        <v>447</v>
      </c>
      <c r="D25" s="57">
        <v>478</v>
      </c>
      <c r="E25" s="57">
        <v>457</v>
      </c>
      <c r="F25" s="57">
        <v>469</v>
      </c>
      <c r="G25" s="57">
        <v>428</v>
      </c>
      <c r="H25" s="57">
        <v>439</v>
      </c>
      <c r="I25" s="57">
        <v>444</v>
      </c>
      <c r="J25" s="57">
        <v>443</v>
      </c>
      <c r="K25" s="57">
        <v>501</v>
      </c>
      <c r="L25" s="57">
        <v>393</v>
      </c>
    </row>
    <row r="26" spans="2:12" x14ac:dyDescent="0.2">
      <c r="B26" s="58" t="s">
        <v>14</v>
      </c>
      <c r="C26" s="59">
        <v>771</v>
      </c>
      <c r="D26" s="59">
        <v>727</v>
      </c>
      <c r="E26" s="59">
        <v>631</v>
      </c>
      <c r="F26" s="59">
        <v>577</v>
      </c>
      <c r="G26" s="59">
        <v>700</v>
      </c>
      <c r="H26" s="59">
        <v>661</v>
      </c>
      <c r="I26" s="59">
        <v>694</v>
      </c>
      <c r="J26" s="59">
        <v>713</v>
      </c>
      <c r="K26" s="59">
        <v>554</v>
      </c>
      <c r="L26" s="59">
        <v>518</v>
      </c>
    </row>
    <row r="27" spans="2:12" x14ac:dyDescent="0.2">
      <c r="B27" s="58" t="s">
        <v>15</v>
      </c>
      <c r="C27" s="59">
        <v>120</v>
      </c>
      <c r="D27" s="59">
        <v>52</v>
      </c>
      <c r="E27" s="59">
        <v>101</v>
      </c>
      <c r="F27" s="59">
        <v>63</v>
      </c>
      <c r="G27" s="59">
        <v>60</v>
      </c>
      <c r="H27" s="59">
        <v>49</v>
      </c>
      <c r="I27" s="59">
        <v>54</v>
      </c>
      <c r="J27" s="59">
        <v>62</v>
      </c>
      <c r="K27" s="59">
        <v>37</v>
      </c>
      <c r="L27" s="59">
        <v>50</v>
      </c>
    </row>
    <row r="28" spans="2:12" x14ac:dyDescent="0.2">
      <c r="B28" s="58" t="s">
        <v>16</v>
      </c>
      <c r="C28" s="59">
        <v>384</v>
      </c>
      <c r="D28" s="59">
        <v>394</v>
      </c>
      <c r="E28" s="59">
        <v>362</v>
      </c>
      <c r="F28" s="59">
        <v>475</v>
      </c>
      <c r="G28" s="59">
        <v>524</v>
      </c>
      <c r="H28" s="59">
        <v>362</v>
      </c>
      <c r="I28" s="59">
        <v>312</v>
      </c>
      <c r="J28" s="59">
        <v>337</v>
      </c>
      <c r="K28" s="59">
        <v>299</v>
      </c>
      <c r="L28" s="59">
        <v>261</v>
      </c>
    </row>
    <row r="29" spans="2:12" x14ac:dyDescent="0.2">
      <c r="B29" s="58" t="s">
        <v>17</v>
      </c>
      <c r="C29" s="59">
        <v>627</v>
      </c>
      <c r="D29" s="59">
        <v>672</v>
      </c>
      <c r="E29" s="59">
        <v>597</v>
      </c>
      <c r="F29" s="59">
        <v>646</v>
      </c>
      <c r="G29" s="59">
        <v>611</v>
      </c>
      <c r="H29" s="59">
        <v>557</v>
      </c>
      <c r="I29" s="59">
        <v>559</v>
      </c>
      <c r="J29" s="59">
        <v>523</v>
      </c>
      <c r="K29" s="59">
        <v>473</v>
      </c>
      <c r="L29" s="59">
        <v>424</v>
      </c>
    </row>
    <row r="30" spans="2:12" x14ac:dyDescent="0.2">
      <c r="B30" s="58" t="s">
        <v>18</v>
      </c>
      <c r="C30" s="59">
        <v>420</v>
      </c>
      <c r="D30" s="59">
        <v>345</v>
      </c>
      <c r="E30" s="59">
        <v>270</v>
      </c>
      <c r="F30" s="59">
        <v>461</v>
      </c>
      <c r="G30" s="59">
        <v>333</v>
      </c>
      <c r="H30" s="59">
        <v>310</v>
      </c>
      <c r="I30" s="59">
        <v>302</v>
      </c>
      <c r="J30" s="59">
        <v>234</v>
      </c>
      <c r="K30" s="59">
        <v>193</v>
      </c>
      <c r="L30" s="59">
        <v>190</v>
      </c>
    </row>
    <row r="31" spans="2:12" x14ac:dyDescent="0.2">
      <c r="B31" s="58" t="s">
        <v>19</v>
      </c>
      <c r="C31" s="59">
        <v>644</v>
      </c>
      <c r="D31" s="59">
        <v>699</v>
      </c>
      <c r="E31" s="59">
        <v>681</v>
      </c>
      <c r="F31" s="59">
        <v>615</v>
      </c>
      <c r="G31" s="59">
        <v>556</v>
      </c>
      <c r="H31" s="59">
        <v>536</v>
      </c>
      <c r="I31" s="59">
        <v>495</v>
      </c>
      <c r="J31" s="59">
        <v>435</v>
      </c>
      <c r="K31" s="59">
        <v>357</v>
      </c>
      <c r="L31" s="59">
        <v>329</v>
      </c>
    </row>
    <row r="32" spans="2:12" x14ac:dyDescent="0.2">
      <c r="B32" s="58" t="s">
        <v>20</v>
      </c>
      <c r="C32" s="59">
        <v>818</v>
      </c>
      <c r="D32" s="59">
        <v>587</v>
      </c>
      <c r="E32" s="59">
        <v>752</v>
      </c>
      <c r="F32" s="59">
        <v>696</v>
      </c>
      <c r="G32" s="59">
        <v>612</v>
      </c>
      <c r="H32" s="59">
        <v>593</v>
      </c>
      <c r="I32" s="59">
        <v>547</v>
      </c>
      <c r="J32" s="59">
        <v>603</v>
      </c>
      <c r="K32" s="59">
        <v>591</v>
      </c>
      <c r="L32" s="59">
        <v>505</v>
      </c>
    </row>
    <row r="33" spans="2:12" x14ac:dyDescent="0.2">
      <c r="B33" s="58" t="s">
        <v>21</v>
      </c>
      <c r="C33" s="59">
        <v>246</v>
      </c>
      <c r="D33" s="59">
        <v>248</v>
      </c>
      <c r="E33" s="59">
        <v>229</v>
      </c>
      <c r="F33" s="59">
        <v>211</v>
      </c>
      <c r="G33" s="59">
        <v>233</v>
      </c>
      <c r="H33" s="59">
        <v>180</v>
      </c>
      <c r="I33" s="59">
        <v>150</v>
      </c>
      <c r="J33" s="59">
        <v>158</v>
      </c>
      <c r="K33" s="59">
        <v>146</v>
      </c>
      <c r="L33" s="59">
        <v>119</v>
      </c>
    </row>
    <row r="34" spans="2:12" x14ac:dyDescent="0.2">
      <c r="B34" s="58" t="s">
        <v>22</v>
      </c>
      <c r="C34" s="59">
        <v>237</v>
      </c>
      <c r="D34" s="59">
        <v>201</v>
      </c>
      <c r="E34" s="59">
        <v>242</v>
      </c>
      <c r="F34" s="59">
        <v>160</v>
      </c>
      <c r="G34" s="59">
        <v>138</v>
      </c>
      <c r="H34" s="59">
        <v>132</v>
      </c>
      <c r="I34" s="59">
        <v>148</v>
      </c>
      <c r="J34" s="59">
        <v>77</v>
      </c>
      <c r="K34" s="59">
        <v>112</v>
      </c>
      <c r="L34" s="59">
        <v>115</v>
      </c>
    </row>
    <row r="35" spans="2:12" x14ac:dyDescent="0.2">
      <c r="B35" s="58" t="s">
        <v>23</v>
      </c>
      <c r="C35" s="59">
        <v>656</v>
      </c>
      <c r="D35" s="59">
        <v>715</v>
      </c>
      <c r="E35" s="59">
        <v>683</v>
      </c>
      <c r="F35" s="59">
        <v>689</v>
      </c>
      <c r="G35" s="59">
        <v>594</v>
      </c>
      <c r="H35" s="59">
        <v>605</v>
      </c>
      <c r="I35" s="59">
        <v>592</v>
      </c>
      <c r="J35" s="59">
        <v>484</v>
      </c>
      <c r="K35" s="59">
        <v>550</v>
      </c>
      <c r="L35" s="59">
        <v>534</v>
      </c>
    </row>
    <row r="36" spans="2:12" x14ac:dyDescent="0.2">
      <c r="B36" s="58" t="s">
        <v>24</v>
      </c>
      <c r="C36" s="59">
        <v>447</v>
      </c>
      <c r="D36" s="59">
        <v>414</v>
      </c>
      <c r="E36" s="59">
        <v>365</v>
      </c>
      <c r="F36" s="59">
        <v>387</v>
      </c>
      <c r="G36" s="59">
        <v>340</v>
      </c>
      <c r="H36" s="59">
        <v>314</v>
      </c>
      <c r="I36" s="59">
        <v>301</v>
      </c>
      <c r="J36" s="59">
        <v>276</v>
      </c>
      <c r="K36" s="59">
        <v>288</v>
      </c>
      <c r="L36" s="59">
        <v>268</v>
      </c>
    </row>
    <row r="37" spans="2:12" x14ac:dyDescent="0.2">
      <c r="B37" s="58" t="s">
        <v>25</v>
      </c>
      <c r="C37" s="59">
        <v>610</v>
      </c>
      <c r="D37" s="59">
        <v>597</v>
      </c>
      <c r="E37" s="59">
        <v>626</v>
      </c>
      <c r="F37" s="59">
        <v>622</v>
      </c>
      <c r="G37" s="59">
        <v>600</v>
      </c>
      <c r="H37" s="59">
        <v>575</v>
      </c>
      <c r="I37" s="59">
        <v>615</v>
      </c>
      <c r="J37" s="59">
        <v>562</v>
      </c>
      <c r="K37" s="59">
        <v>548</v>
      </c>
      <c r="L37" s="59">
        <v>510</v>
      </c>
    </row>
    <row r="38" spans="2:12" x14ac:dyDescent="0.2">
      <c r="B38" s="61" t="s">
        <v>26</v>
      </c>
      <c r="C38" s="62">
        <v>1241</v>
      </c>
      <c r="D38" s="62">
        <v>1276</v>
      </c>
      <c r="E38" s="62">
        <v>1316</v>
      </c>
      <c r="F38" s="62">
        <v>1304</v>
      </c>
      <c r="G38" s="62">
        <v>1248</v>
      </c>
      <c r="H38" s="62">
        <v>1401</v>
      </c>
      <c r="I38" s="62">
        <v>1436</v>
      </c>
      <c r="J38" s="62">
        <v>1306</v>
      </c>
      <c r="K38" s="62">
        <v>1236</v>
      </c>
      <c r="L38" s="62">
        <v>1158</v>
      </c>
    </row>
    <row r="39" spans="2:12" x14ac:dyDescent="0.2">
      <c r="B39" s="20" t="s">
        <v>27</v>
      </c>
      <c r="C39" s="21">
        <f>SUBTOTAL(109,'Undergrad Breakdown Trend'!$C$25:$C$38)</f>
        <v>7668</v>
      </c>
      <c r="D39" s="21">
        <f>SUBTOTAL(109,'Undergrad Breakdown Trend'!$D$25:$D$38)</f>
        <v>7405</v>
      </c>
      <c r="E39" s="21">
        <f>SUBTOTAL(109,'Undergrad Breakdown Trend'!$E$25:$E$38)</f>
        <v>7312</v>
      </c>
      <c r="F39" s="21">
        <f>SUBTOTAL(109,'Undergrad Breakdown Trend'!$F$25:$F$38)</f>
        <v>7375</v>
      </c>
      <c r="G39" s="21">
        <f>SUBTOTAL(109,'Undergrad Breakdown Trend'!$G$25:$G$38)</f>
        <v>6977</v>
      </c>
      <c r="H39" s="21">
        <f>SUBTOTAL(109,'Undergrad Breakdown Trend'!$H$25:$H$38)</f>
        <v>6714</v>
      </c>
      <c r="I39" s="21">
        <f>SUBTOTAL(109,'Undergrad Breakdown Trend'!$I$25:$I$38)</f>
        <v>6649</v>
      </c>
      <c r="J39" s="21">
        <f>SUBTOTAL(109,'Undergrad Breakdown Trend'!$J$25:$J$38)</f>
        <v>6213</v>
      </c>
      <c r="K39" s="21">
        <f>SUBTOTAL(109,'Undergrad Breakdown Trend'!$K$25:$K$38)</f>
        <v>5885</v>
      </c>
      <c r="L39" s="21">
        <f>SUBTOTAL(109,'Undergrad Breakdown Trend'!$L$25:$L$38)</f>
        <v>5374</v>
      </c>
    </row>
    <row r="42" spans="2:12" ht="15" x14ac:dyDescent="0.2">
      <c r="B42" s="128" t="str">
        <f>CONCATENATE("Continuing Students ", IF(RIGHT(Parameters!B1,1) = "1","Fall ", "Spring "),IF(RIGHT(Parameters!B1,1)  = "1",LEFT(Parameters!B1,4) -9, LEFT(Parameters!B1,4)-8 ),"-",IF(RIGHT(Parameters!B1,1)  = "1",LEFT(Parameters!B1,4), LEFT(Parameters!B1,4)+1 ))</f>
        <v>Continuing Students Fall 2010-2019</v>
      </c>
      <c r="C42" s="128"/>
      <c r="D42" s="128"/>
      <c r="E42" s="128"/>
      <c r="F42" s="128"/>
      <c r="G42" s="128"/>
      <c r="H42" s="128"/>
      <c r="I42" s="128"/>
      <c r="J42" s="129"/>
      <c r="K42" s="129"/>
      <c r="L42" s="129"/>
    </row>
    <row r="43" spans="2:12" ht="30.95" customHeight="1" x14ac:dyDescent="0.2">
      <c r="B43" s="52" t="s">
        <v>1</v>
      </c>
      <c r="C43" s="52" t="str">
        <f>CONCATENATE(IF(RIGHT(Parameters!B1,1) = "1","Fall ", "Spring "),IF(RIGHT(Parameters!B1,1) = "1",LEFT(Parameters!B1,4) -9, LEFT(Parameters!B1,4) - 8))</f>
        <v>Fall 2010</v>
      </c>
      <c r="D43" s="52" t="str">
        <f>CONCATENATE(IF(RIGHT(Parameters!B1,1) = "1","Fall ", "Spring "),IF(RIGHT(Parameters!B1,1) = "1",LEFT(Parameters!B1,4) -8, LEFT(Parameters!B1,4) - 7))</f>
        <v>Fall 2011</v>
      </c>
      <c r="E43" s="52" t="str">
        <f>CONCATENATE(IF(RIGHT(Parameters!B1,1) = "1","Fall ", "Spring "),IF(RIGHT(Parameters!B1,1) = "1",LEFT(Parameters!B1,4) -7, LEFT(Parameters!B1,4) - 6))</f>
        <v>Fall 2012</v>
      </c>
      <c r="F43" s="52" t="str">
        <f>CONCATENATE(IF(RIGHT(Parameters!B1,1) = "1","Fall ", "Spring "),IF(RIGHT(Parameters!B1,1) = "1",LEFT(Parameters!B1,4) -6, LEFT(Parameters!B1,4) - 5))</f>
        <v>Fall 2013</v>
      </c>
      <c r="G43" s="52" t="str">
        <f>CONCATENATE(IF(RIGHT(Parameters!B1,1) = "1","Fall ", "Spring "),IF(RIGHT(Parameters!B1,1) = "1",LEFT(Parameters!B1,4) -5, LEFT(Parameters!B1,4) - 4))</f>
        <v>Fall 2014</v>
      </c>
      <c r="H43" s="52" t="str">
        <f>CONCATENATE(IF(RIGHT(Parameters!B1,1) = "1","Fall ", "Spring "),IF(RIGHT(Parameters!B1,1) = "1",LEFT(Parameters!B1,4) -4, LEFT(Parameters!B1,4) - 3))</f>
        <v>Fall 2015</v>
      </c>
      <c r="I43" s="52" t="str">
        <f>CONCATENATE(IF(RIGHT(Parameters!B1,1) = "1","Fall ", "Spring "),IF(RIGHT(Parameters!B1,1) = "1",LEFT(Parameters!B1,4) -3, LEFT(Parameters!B1,4) - 2))</f>
        <v>Fall 2016</v>
      </c>
      <c r="J43" s="52" t="str">
        <f>CONCATENATE(IF(RIGHT(Parameters!B1,1) = "1","Fall ", "Spring "),IF(RIGHT(Parameters!B1,1) = "1",LEFT(Parameters!B1,4) -2, LEFT(Parameters!B1,4) - 1))</f>
        <v>Fall 2017</v>
      </c>
      <c r="K43" s="52" t="str">
        <f>CONCATENATE(IF(RIGHT(Parameters!B1,1) = "1","Fall ", "Spring "),IF(RIGHT(Parameters!B1,1) = "1",LEFT(Parameters!B1,4)-1, LEFT(Parameters!B1,4) ))</f>
        <v>Fall 2018</v>
      </c>
      <c r="L43" s="52" t="str">
        <f>CONCATENATE(IF(RIGHT(Parameters!B1,1) = "1","Fall ", "Spring "),IF(RIGHT(Parameters!B1,1) = "1",LEFT(Parameters!B1,4), LEFT(Parameters!B1,4) + 1))</f>
        <v>Fall 2019</v>
      </c>
    </row>
    <row r="44" spans="2:12" ht="15" hidden="1" customHeight="1" x14ac:dyDescent="0.2">
      <c r="B44" s="26" t="s">
        <v>2</v>
      </c>
      <c r="C44" s="26" t="s">
        <v>3</v>
      </c>
      <c r="D44" s="26" t="s">
        <v>4</v>
      </c>
      <c r="E44" s="26" t="s">
        <v>5</v>
      </c>
      <c r="F44" s="26" t="s">
        <v>6</v>
      </c>
      <c r="G44" s="26" t="s">
        <v>7</v>
      </c>
      <c r="H44" s="26" t="s">
        <v>8</v>
      </c>
      <c r="I44" s="26" t="s">
        <v>9</v>
      </c>
      <c r="J44" s="26" t="s">
        <v>10</v>
      </c>
      <c r="K44" s="26" t="s">
        <v>11</v>
      </c>
      <c r="L44" s="26" t="s">
        <v>12</v>
      </c>
    </row>
    <row r="45" spans="2:12" x14ac:dyDescent="0.2">
      <c r="B45" s="56" t="s">
        <v>13</v>
      </c>
      <c r="C45" s="57">
        <v>6290</v>
      </c>
      <c r="D45" s="57">
        <v>6606</v>
      </c>
      <c r="E45" s="57">
        <v>6663</v>
      </c>
      <c r="F45" s="57">
        <v>6558</v>
      </c>
      <c r="G45" s="57">
        <v>6510</v>
      </c>
      <c r="H45" s="57">
        <v>6382</v>
      </c>
      <c r="I45" s="57">
        <v>6388</v>
      </c>
      <c r="J45" s="57">
        <v>5977</v>
      </c>
      <c r="K45" s="57">
        <v>5574</v>
      </c>
      <c r="L45" s="57">
        <v>5271</v>
      </c>
    </row>
    <row r="46" spans="2:12" x14ac:dyDescent="0.2">
      <c r="B46" s="58" t="s">
        <v>14</v>
      </c>
      <c r="C46" s="59">
        <v>5205</v>
      </c>
      <c r="D46" s="59">
        <v>5333</v>
      </c>
      <c r="E46" s="59">
        <v>5050</v>
      </c>
      <c r="F46" s="59">
        <v>4725</v>
      </c>
      <c r="G46" s="59">
        <v>4290</v>
      </c>
      <c r="H46" s="59">
        <v>4111</v>
      </c>
      <c r="I46" s="59">
        <v>3820</v>
      </c>
      <c r="J46" s="59">
        <v>3717</v>
      </c>
      <c r="K46" s="59">
        <v>3487</v>
      </c>
      <c r="L46" s="59">
        <v>3242</v>
      </c>
    </row>
    <row r="47" spans="2:12" x14ac:dyDescent="0.2">
      <c r="B47" s="58" t="s">
        <v>15</v>
      </c>
      <c r="C47" s="59">
        <v>839</v>
      </c>
      <c r="D47" s="59">
        <v>846</v>
      </c>
      <c r="E47" s="59">
        <v>793</v>
      </c>
      <c r="F47" s="59">
        <v>769</v>
      </c>
      <c r="G47" s="59">
        <v>706</v>
      </c>
      <c r="H47" s="59">
        <v>536</v>
      </c>
      <c r="I47" s="59">
        <v>473</v>
      </c>
      <c r="J47" s="59">
        <v>446</v>
      </c>
      <c r="K47" s="59">
        <v>330</v>
      </c>
      <c r="L47" s="59">
        <v>326</v>
      </c>
    </row>
    <row r="48" spans="2:12" x14ac:dyDescent="0.2">
      <c r="B48" s="58" t="s">
        <v>16</v>
      </c>
      <c r="C48" s="59">
        <v>4207</v>
      </c>
      <c r="D48" s="59">
        <v>4090</v>
      </c>
      <c r="E48" s="59">
        <v>3841</v>
      </c>
      <c r="F48" s="59">
        <v>3575</v>
      </c>
      <c r="G48" s="59">
        <v>3327</v>
      </c>
      <c r="H48" s="59">
        <v>3097</v>
      </c>
      <c r="I48" s="59">
        <v>2998</v>
      </c>
      <c r="J48" s="59">
        <v>2955</v>
      </c>
      <c r="K48" s="59">
        <v>2781</v>
      </c>
      <c r="L48" s="59">
        <v>2594</v>
      </c>
    </row>
    <row r="49" spans="2:12" x14ac:dyDescent="0.2">
      <c r="B49" s="58" t="s">
        <v>17</v>
      </c>
      <c r="C49" s="59">
        <v>4489</v>
      </c>
      <c r="D49" s="59">
        <v>4526</v>
      </c>
      <c r="E49" s="59">
        <v>4419</v>
      </c>
      <c r="F49" s="59">
        <v>4251</v>
      </c>
      <c r="G49" s="59">
        <v>4228</v>
      </c>
      <c r="H49" s="59">
        <v>4241</v>
      </c>
      <c r="I49" s="59">
        <v>4228</v>
      </c>
      <c r="J49" s="59">
        <v>4162</v>
      </c>
      <c r="K49" s="59">
        <v>4002</v>
      </c>
      <c r="L49" s="59">
        <v>3787</v>
      </c>
    </row>
    <row r="50" spans="2:12" x14ac:dyDescent="0.2">
      <c r="B50" s="58" t="s">
        <v>18</v>
      </c>
      <c r="C50" s="59">
        <v>4592</v>
      </c>
      <c r="D50" s="59">
        <v>4696</v>
      </c>
      <c r="E50" s="59">
        <v>4487</v>
      </c>
      <c r="F50" s="59">
        <v>4209</v>
      </c>
      <c r="G50" s="59">
        <v>3921</v>
      </c>
      <c r="H50" s="59">
        <v>3612</v>
      </c>
      <c r="I50" s="59">
        <v>3410</v>
      </c>
      <c r="J50" s="59">
        <v>3150</v>
      </c>
      <c r="K50" s="59">
        <v>2707</v>
      </c>
      <c r="L50" s="59">
        <v>2348</v>
      </c>
    </row>
    <row r="51" spans="2:12" x14ac:dyDescent="0.2">
      <c r="B51" s="58" t="s">
        <v>19</v>
      </c>
      <c r="C51" s="59">
        <v>8794</v>
      </c>
      <c r="D51" s="59">
        <v>9039</v>
      </c>
      <c r="E51" s="59">
        <v>9075</v>
      </c>
      <c r="F51" s="59">
        <v>8836</v>
      </c>
      <c r="G51" s="59">
        <v>8485</v>
      </c>
      <c r="H51" s="59">
        <v>8145</v>
      </c>
      <c r="I51" s="59">
        <v>7619</v>
      </c>
      <c r="J51" s="59">
        <v>7042</v>
      </c>
      <c r="K51" s="59">
        <v>6485</v>
      </c>
      <c r="L51" s="59">
        <v>5894</v>
      </c>
    </row>
    <row r="52" spans="2:12" x14ac:dyDescent="0.2">
      <c r="B52" s="58" t="s">
        <v>20</v>
      </c>
      <c r="C52" s="59">
        <v>6494</v>
      </c>
      <c r="D52" s="59">
        <v>6521</v>
      </c>
      <c r="E52" s="59">
        <v>6167</v>
      </c>
      <c r="F52" s="59">
        <v>6028</v>
      </c>
      <c r="G52" s="59">
        <v>6123</v>
      </c>
      <c r="H52" s="59">
        <v>5793</v>
      </c>
      <c r="I52" s="59">
        <v>5443</v>
      </c>
      <c r="J52" s="59">
        <v>5235</v>
      </c>
      <c r="K52" s="59">
        <v>5122</v>
      </c>
      <c r="L52" s="59">
        <v>4959</v>
      </c>
    </row>
    <row r="53" spans="2:12" x14ac:dyDescent="0.2">
      <c r="B53" s="58" t="s">
        <v>21</v>
      </c>
      <c r="C53" s="59">
        <v>3534</v>
      </c>
      <c r="D53" s="59">
        <v>3433</v>
      </c>
      <c r="E53" s="59">
        <v>3493</v>
      </c>
      <c r="F53" s="59">
        <v>3486</v>
      </c>
      <c r="G53" s="59">
        <v>3280</v>
      </c>
      <c r="H53" s="59">
        <v>3094</v>
      </c>
      <c r="I53" s="59">
        <v>2808</v>
      </c>
      <c r="J53" s="59">
        <v>2477</v>
      </c>
      <c r="K53" s="59">
        <v>2189</v>
      </c>
      <c r="L53" s="59">
        <v>1971</v>
      </c>
    </row>
    <row r="54" spans="2:12" x14ac:dyDescent="0.2">
      <c r="B54" s="58" t="s">
        <v>22</v>
      </c>
      <c r="C54" s="59">
        <v>2010</v>
      </c>
      <c r="D54" s="59">
        <v>1994</v>
      </c>
      <c r="E54" s="59">
        <v>1914</v>
      </c>
      <c r="F54" s="59">
        <v>1852</v>
      </c>
      <c r="G54" s="59">
        <v>1830</v>
      </c>
      <c r="H54" s="59">
        <v>1645</v>
      </c>
      <c r="I54" s="59">
        <v>1452</v>
      </c>
      <c r="J54" s="59">
        <v>1315</v>
      </c>
      <c r="K54" s="59">
        <v>1113</v>
      </c>
      <c r="L54" s="59">
        <v>1000</v>
      </c>
    </row>
    <row r="55" spans="2:12" x14ac:dyDescent="0.2">
      <c r="B55" s="58" t="s">
        <v>23</v>
      </c>
      <c r="C55" s="59">
        <v>5520</v>
      </c>
      <c r="D55" s="59">
        <v>5517</v>
      </c>
      <c r="E55" s="59">
        <v>5324</v>
      </c>
      <c r="F55" s="59">
        <v>5325</v>
      </c>
      <c r="G55" s="59">
        <v>5118</v>
      </c>
      <c r="H55" s="59">
        <v>5040</v>
      </c>
      <c r="I55" s="59">
        <v>4960</v>
      </c>
      <c r="J55" s="59">
        <v>4798</v>
      </c>
      <c r="K55" s="59">
        <v>4707</v>
      </c>
      <c r="L55" s="59">
        <v>4761</v>
      </c>
    </row>
    <row r="56" spans="2:12" x14ac:dyDescent="0.2">
      <c r="B56" s="58" t="s">
        <v>24</v>
      </c>
      <c r="C56" s="59">
        <v>4888</v>
      </c>
      <c r="D56" s="59">
        <v>4900</v>
      </c>
      <c r="E56" s="59">
        <v>4804</v>
      </c>
      <c r="F56" s="59">
        <v>4584</v>
      </c>
      <c r="G56" s="59">
        <v>4432</v>
      </c>
      <c r="H56" s="59">
        <v>4258</v>
      </c>
      <c r="I56" s="59">
        <v>4171</v>
      </c>
      <c r="J56" s="59">
        <v>3980</v>
      </c>
      <c r="K56" s="59">
        <v>3712</v>
      </c>
      <c r="L56" s="59">
        <v>3561</v>
      </c>
    </row>
    <row r="57" spans="2:12" x14ac:dyDescent="0.2">
      <c r="B57" s="58" t="s">
        <v>25</v>
      </c>
      <c r="C57" s="59">
        <v>5707</v>
      </c>
      <c r="D57" s="59">
        <v>5748</v>
      </c>
      <c r="E57" s="59">
        <v>5597</v>
      </c>
      <c r="F57" s="59">
        <v>5510</v>
      </c>
      <c r="G57" s="59">
        <v>5340</v>
      </c>
      <c r="H57" s="59">
        <v>5372</v>
      </c>
      <c r="I57" s="59">
        <v>5390</v>
      </c>
      <c r="J57" s="59">
        <v>5408</v>
      </c>
      <c r="K57" s="59">
        <v>5352</v>
      </c>
      <c r="L57" s="59">
        <v>5304</v>
      </c>
    </row>
    <row r="58" spans="2:12" x14ac:dyDescent="0.2">
      <c r="B58" s="61" t="s">
        <v>26</v>
      </c>
      <c r="C58" s="62">
        <v>8565</v>
      </c>
      <c r="D58" s="62">
        <v>8953</v>
      </c>
      <c r="E58" s="62">
        <v>9403</v>
      </c>
      <c r="F58" s="62">
        <v>9854</v>
      </c>
      <c r="G58" s="62">
        <v>10011</v>
      </c>
      <c r="H58" s="62">
        <v>10160</v>
      </c>
      <c r="I58" s="62">
        <v>10233</v>
      </c>
      <c r="J58" s="62">
        <v>10294</v>
      </c>
      <c r="K58" s="62">
        <v>10247</v>
      </c>
      <c r="L58" s="62">
        <v>10321</v>
      </c>
    </row>
    <row r="59" spans="2:12" x14ac:dyDescent="0.2">
      <c r="B59" s="20" t="s">
        <v>27</v>
      </c>
      <c r="C59" s="21">
        <f>SUBTOTAL(109,'Undergrad Breakdown Trend'!$C$45:$C$58)</f>
        <v>71134</v>
      </c>
      <c r="D59" s="21">
        <f>SUBTOTAL(109,'Undergrad Breakdown Trend'!$D$45:$D$58)</f>
        <v>72202</v>
      </c>
      <c r="E59" s="21">
        <f>SUBTOTAL(109,'Undergrad Breakdown Trend'!$E$45:$E$58)</f>
        <v>71030</v>
      </c>
      <c r="F59" s="21">
        <f>SUBTOTAL(109,'Undergrad Breakdown Trend'!$F$45:$F$58)</f>
        <v>69562</v>
      </c>
      <c r="G59" s="21">
        <f>SUBTOTAL(109,'Undergrad Breakdown Trend'!$G$45:$G$58)</f>
        <v>67601</v>
      </c>
      <c r="H59" s="21">
        <f>SUBTOTAL(109,'Undergrad Breakdown Trend'!$H$45:$H$58)</f>
        <v>65486</v>
      </c>
      <c r="I59" s="21">
        <f>SUBTOTAL(109,'Undergrad Breakdown Trend'!$I$45:$I$58)</f>
        <v>63393</v>
      </c>
      <c r="J59" s="21">
        <f>SUBTOTAL(109,'Undergrad Breakdown Trend'!$J$45:$J$58)</f>
        <v>60956</v>
      </c>
      <c r="K59" s="21">
        <f>SUBTOTAL(109,'Undergrad Breakdown Trend'!$K$45:$K$58)</f>
        <v>57808</v>
      </c>
      <c r="L59" s="21">
        <f>SUBTOTAL(109,'Undergrad Breakdown Trend'!$L$45:$L$58)</f>
        <v>55339</v>
      </c>
    </row>
    <row r="62" spans="2:12" ht="15" x14ac:dyDescent="0.2">
      <c r="B62" s="128" t="str">
        <f>CONCATENATE("Non-degree Students ", IF(RIGHT(Parameters!B1,1) = "1","Fall ", "Spring "),IF(RIGHT(Parameters!B1,1)  = "1",LEFT(Parameters!B1,4) -9, LEFT(Parameters!B1,4)-8 ),"-",IF(RIGHT(Parameters!B1,1)  = "1",LEFT(Parameters!B1,4), LEFT(Parameters!B1,4)+1 ))</f>
        <v>Non-degree Students Fall 2010-2019</v>
      </c>
      <c r="C62" s="128"/>
      <c r="D62" s="128"/>
      <c r="E62" s="128"/>
      <c r="F62" s="128"/>
      <c r="G62" s="128"/>
      <c r="H62" s="128"/>
      <c r="I62" s="128"/>
      <c r="J62" s="129"/>
      <c r="K62" s="129"/>
      <c r="L62" s="129"/>
    </row>
    <row r="63" spans="2:12" ht="30.95" customHeight="1" x14ac:dyDescent="0.2">
      <c r="B63" s="52" t="s">
        <v>1</v>
      </c>
      <c r="C63" s="52" t="str">
        <f>CONCATENATE(IF(RIGHT(Parameters!B1,1) = "1","Fall ", "Spring "),IF(RIGHT(Parameters!B1,1) = "1",LEFT(Parameters!B1,4) -9, LEFT(Parameters!B1,4) - 8))</f>
        <v>Fall 2010</v>
      </c>
      <c r="D63" s="52" t="str">
        <f>CONCATENATE(IF(RIGHT(Parameters!B1,1) = "1","Fall ", "Spring "),IF(RIGHT(Parameters!B1,1) = "1",LEFT(Parameters!B1,4) -8, LEFT(Parameters!B1,4) - 7))</f>
        <v>Fall 2011</v>
      </c>
      <c r="E63" s="52" t="str">
        <f>CONCATENATE(IF(RIGHT(Parameters!B1,1) = "1","Fall ", "Spring "),IF(RIGHT(Parameters!B1,1) = "1",LEFT(Parameters!B1,4) -7, LEFT(Parameters!B1,4) - 6))</f>
        <v>Fall 2012</v>
      </c>
      <c r="F63" s="52" t="str">
        <f>CONCATENATE(IF(RIGHT(Parameters!B1,1) = "1","Fall ", "Spring "),IF(RIGHT(Parameters!B1,1) = "1",LEFT(Parameters!B1,4) -6, LEFT(Parameters!B1,4) - 5))</f>
        <v>Fall 2013</v>
      </c>
      <c r="G63" s="52" t="str">
        <f>CONCATENATE(IF(RIGHT(Parameters!B1,1) = "1","Fall ", "Spring "),IF(RIGHT(Parameters!B1,1) = "1",LEFT(Parameters!B1,4) -5, LEFT(Parameters!B1,4) - 4))</f>
        <v>Fall 2014</v>
      </c>
      <c r="H63" s="52" t="str">
        <f>CONCATENATE(IF(RIGHT(Parameters!B1,1) = "1","Fall ", "Spring "),IF(RIGHT(Parameters!B1,1) = "1",LEFT(Parameters!B1,4) -4, LEFT(Parameters!B1,4) - 3))</f>
        <v>Fall 2015</v>
      </c>
      <c r="I63" s="52" t="str">
        <f>CONCATENATE(IF(RIGHT(Parameters!B1,1) = "1","Fall ", "Spring "),IF(RIGHT(Parameters!B1,1) = "1",LEFT(Parameters!B1,4) -3, LEFT(Parameters!B1,4) - 2))</f>
        <v>Fall 2016</v>
      </c>
      <c r="J63" s="52" t="str">
        <f>CONCATENATE(IF(RIGHT(Parameters!B1,1) = "1","Fall ", "Spring "),IF(RIGHT(Parameters!B1,1) = "1",LEFT(Parameters!B1,4) -2, LEFT(Parameters!B1,4) - 1))</f>
        <v>Fall 2017</v>
      </c>
      <c r="K63" s="52" t="str">
        <f>CONCATENATE(IF(RIGHT(Parameters!B1,1) = "1","Fall ", "Spring "),IF(RIGHT(Parameters!B1,1) = "1",LEFT(Parameters!B1,4)-1, LEFT(Parameters!B1,4) ))</f>
        <v>Fall 2018</v>
      </c>
      <c r="L63" s="52" t="str">
        <f>CONCATENATE(IF(RIGHT(Parameters!B1,1) = "1","Fall ", "Spring "),IF(RIGHT(Parameters!B1,1) = "1",LEFT(Parameters!B1,4), LEFT(Parameters!B1,4) + 1))</f>
        <v>Fall 2019</v>
      </c>
    </row>
    <row r="64" spans="2:12" ht="15" hidden="1" customHeight="1" x14ac:dyDescent="0.2">
      <c r="B64" s="26" t="s">
        <v>2</v>
      </c>
      <c r="C64" s="26" t="s">
        <v>3</v>
      </c>
      <c r="D64" s="26" t="s">
        <v>4</v>
      </c>
      <c r="E64" s="26" t="s">
        <v>5</v>
      </c>
      <c r="F64" s="26" t="s">
        <v>6</v>
      </c>
      <c r="G64" s="26" t="s">
        <v>7</v>
      </c>
      <c r="H64" s="26" t="s">
        <v>8</v>
      </c>
      <c r="I64" s="26" t="s">
        <v>9</v>
      </c>
      <c r="J64" s="26" t="s">
        <v>10</v>
      </c>
      <c r="K64" s="26" t="s">
        <v>11</v>
      </c>
      <c r="L64" s="26" t="s">
        <v>12</v>
      </c>
    </row>
    <row r="65" spans="2:12" x14ac:dyDescent="0.2">
      <c r="B65" s="56" t="s">
        <v>13</v>
      </c>
      <c r="C65" s="57">
        <v>259</v>
      </c>
      <c r="D65" s="57">
        <v>191</v>
      </c>
      <c r="E65" s="57">
        <v>159</v>
      </c>
      <c r="F65" s="57">
        <v>171</v>
      </c>
      <c r="G65" s="57">
        <v>210</v>
      </c>
      <c r="H65" s="57">
        <v>227</v>
      </c>
      <c r="I65" s="57">
        <v>261</v>
      </c>
      <c r="J65" s="57">
        <v>303</v>
      </c>
      <c r="K65" s="57">
        <v>318</v>
      </c>
      <c r="L65" s="57">
        <v>325</v>
      </c>
    </row>
    <row r="66" spans="2:12" x14ac:dyDescent="0.2">
      <c r="B66" s="58" t="s">
        <v>14</v>
      </c>
      <c r="C66" s="59">
        <v>49</v>
      </c>
      <c r="D66" s="59">
        <v>47</v>
      </c>
      <c r="E66" s="59">
        <v>35</v>
      </c>
      <c r="F66" s="59">
        <v>55</v>
      </c>
      <c r="G66" s="59">
        <v>55</v>
      </c>
      <c r="H66" s="59">
        <v>73</v>
      </c>
      <c r="I66" s="59">
        <v>96</v>
      </c>
      <c r="J66" s="59">
        <v>122</v>
      </c>
      <c r="K66" s="59">
        <v>109</v>
      </c>
      <c r="L66" s="59">
        <v>100</v>
      </c>
    </row>
    <row r="67" spans="2:12" x14ac:dyDescent="0.2">
      <c r="B67" s="58" t="s">
        <v>15</v>
      </c>
      <c r="C67" s="59">
        <v>65</v>
      </c>
      <c r="D67" s="59">
        <v>39</v>
      </c>
      <c r="E67" s="59">
        <v>14</v>
      </c>
      <c r="F67" s="59">
        <v>1</v>
      </c>
      <c r="G67" s="59">
        <v>0</v>
      </c>
      <c r="H67" s="59">
        <v>0</v>
      </c>
      <c r="I67" s="59">
        <v>1</v>
      </c>
      <c r="J67" s="59">
        <v>1</v>
      </c>
      <c r="K67" s="59">
        <v>0</v>
      </c>
      <c r="L67" s="59">
        <v>29</v>
      </c>
    </row>
    <row r="68" spans="2:12" x14ac:dyDescent="0.2">
      <c r="B68" s="58" t="s">
        <v>16</v>
      </c>
      <c r="C68" s="59">
        <v>268</v>
      </c>
      <c r="D68" s="59">
        <v>161</v>
      </c>
      <c r="E68" s="59">
        <v>181</v>
      </c>
      <c r="F68" s="59">
        <v>153</v>
      </c>
      <c r="G68" s="59">
        <v>162</v>
      </c>
      <c r="H68" s="59">
        <v>154</v>
      </c>
      <c r="I68" s="59">
        <v>78</v>
      </c>
      <c r="J68" s="59">
        <v>107</v>
      </c>
      <c r="K68" s="59">
        <v>88</v>
      </c>
      <c r="L68" s="59">
        <v>128</v>
      </c>
    </row>
    <row r="69" spans="2:12" x14ac:dyDescent="0.2">
      <c r="B69" s="58" t="s">
        <v>17</v>
      </c>
      <c r="C69" s="59">
        <v>98</v>
      </c>
      <c r="D69" s="59">
        <v>46</v>
      </c>
      <c r="E69" s="59">
        <v>66</v>
      </c>
      <c r="F69" s="59">
        <v>77</v>
      </c>
      <c r="G69" s="59">
        <v>78</v>
      </c>
      <c r="H69" s="59">
        <v>62</v>
      </c>
      <c r="I69" s="59">
        <v>67</v>
      </c>
      <c r="J69" s="59">
        <v>73</v>
      </c>
      <c r="K69" s="59">
        <v>101</v>
      </c>
      <c r="L69" s="59">
        <v>79</v>
      </c>
    </row>
    <row r="70" spans="2:12" x14ac:dyDescent="0.2">
      <c r="B70" s="58" t="s">
        <v>18</v>
      </c>
      <c r="C70" s="59">
        <v>110</v>
      </c>
      <c r="D70" s="59">
        <v>96</v>
      </c>
      <c r="E70" s="59">
        <v>98</v>
      </c>
      <c r="F70" s="59">
        <v>108</v>
      </c>
      <c r="G70" s="59">
        <v>101</v>
      </c>
      <c r="H70" s="59">
        <v>105</v>
      </c>
      <c r="I70" s="59">
        <v>94</v>
      </c>
      <c r="J70" s="59">
        <v>61</v>
      </c>
      <c r="K70" s="59">
        <v>74</v>
      </c>
      <c r="L70" s="59">
        <v>155</v>
      </c>
    </row>
    <row r="71" spans="2:12" x14ac:dyDescent="0.2">
      <c r="B71" s="58" t="s">
        <v>19</v>
      </c>
      <c r="C71" s="59">
        <v>322</v>
      </c>
      <c r="D71" s="59">
        <v>216</v>
      </c>
      <c r="E71" s="59">
        <v>248</v>
      </c>
      <c r="F71" s="59">
        <v>263</v>
      </c>
      <c r="G71" s="59">
        <v>263</v>
      </c>
      <c r="H71" s="59">
        <v>300</v>
      </c>
      <c r="I71" s="59">
        <v>261</v>
      </c>
      <c r="J71" s="59">
        <v>294</v>
      </c>
      <c r="K71" s="59">
        <v>305</v>
      </c>
      <c r="L71" s="59">
        <v>276</v>
      </c>
    </row>
    <row r="72" spans="2:12" x14ac:dyDescent="0.2">
      <c r="B72" s="58" t="s">
        <v>20</v>
      </c>
      <c r="C72" s="59">
        <v>400</v>
      </c>
      <c r="D72" s="59">
        <v>341</v>
      </c>
      <c r="E72" s="59">
        <v>219</v>
      </c>
      <c r="F72" s="59">
        <v>277</v>
      </c>
      <c r="G72" s="59">
        <v>46</v>
      </c>
      <c r="H72" s="59">
        <v>44</v>
      </c>
      <c r="I72" s="59">
        <v>35</v>
      </c>
      <c r="J72" s="59">
        <v>46</v>
      </c>
      <c r="K72" s="59">
        <v>37</v>
      </c>
      <c r="L72" s="59">
        <v>342</v>
      </c>
    </row>
    <row r="73" spans="2:12" x14ac:dyDescent="0.2">
      <c r="B73" s="58" t="s">
        <v>21</v>
      </c>
      <c r="C73" s="59">
        <v>141</v>
      </c>
      <c r="D73" s="59">
        <v>112</v>
      </c>
      <c r="E73" s="59">
        <v>92</v>
      </c>
      <c r="F73" s="59">
        <v>72</v>
      </c>
      <c r="G73" s="59">
        <v>73</v>
      </c>
      <c r="H73" s="59">
        <v>62</v>
      </c>
      <c r="I73" s="59">
        <v>59</v>
      </c>
      <c r="J73" s="59">
        <v>47</v>
      </c>
      <c r="K73" s="59">
        <v>40</v>
      </c>
      <c r="L73" s="59">
        <v>64</v>
      </c>
    </row>
    <row r="74" spans="2:12" x14ac:dyDescent="0.2">
      <c r="B74" s="58" t="s">
        <v>22</v>
      </c>
      <c r="C74" s="59">
        <v>58</v>
      </c>
      <c r="D74" s="59">
        <v>57</v>
      </c>
      <c r="E74" s="59">
        <v>81</v>
      </c>
      <c r="F74" s="59">
        <v>77</v>
      </c>
      <c r="G74" s="59">
        <v>69</v>
      </c>
      <c r="H74" s="59">
        <v>74</v>
      </c>
      <c r="I74" s="59">
        <v>71</v>
      </c>
      <c r="J74" s="59">
        <v>90</v>
      </c>
      <c r="K74" s="59">
        <v>60</v>
      </c>
      <c r="L74" s="59">
        <v>75</v>
      </c>
    </row>
    <row r="75" spans="2:12" x14ac:dyDescent="0.2">
      <c r="B75" s="58" t="s">
        <v>23</v>
      </c>
      <c r="C75" s="59">
        <v>106</v>
      </c>
      <c r="D75" s="59">
        <v>108</v>
      </c>
      <c r="E75" s="59">
        <v>99</v>
      </c>
      <c r="F75" s="59">
        <v>75</v>
      </c>
      <c r="G75" s="59">
        <v>101</v>
      </c>
      <c r="H75" s="59">
        <v>103</v>
      </c>
      <c r="I75" s="59">
        <v>101</v>
      </c>
      <c r="J75" s="59">
        <v>145</v>
      </c>
      <c r="K75" s="59">
        <v>155</v>
      </c>
      <c r="L75" s="59">
        <v>164</v>
      </c>
    </row>
    <row r="76" spans="2:12" x14ac:dyDescent="0.2">
      <c r="B76" s="58" t="s">
        <v>24</v>
      </c>
      <c r="C76" s="59">
        <v>96</v>
      </c>
      <c r="D76" s="59">
        <v>66</v>
      </c>
      <c r="E76" s="59">
        <v>58</v>
      </c>
      <c r="F76" s="59">
        <v>57</v>
      </c>
      <c r="G76" s="59">
        <v>59</v>
      </c>
      <c r="H76" s="59">
        <v>64</v>
      </c>
      <c r="I76" s="59">
        <v>59</v>
      </c>
      <c r="J76" s="59">
        <v>110</v>
      </c>
      <c r="K76" s="59">
        <v>144</v>
      </c>
      <c r="L76" s="59">
        <v>154</v>
      </c>
    </row>
    <row r="77" spans="2:12" x14ac:dyDescent="0.2">
      <c r="B77" s="58" t="s">
        <v>25</v>
      </c>
      <c r="C77" s="59">
        <v>31</v>
      </c>
      <c r="D77" s="59">
        <v>77</v>
      </c>
      <c r="E77" s="59">
        <v>88</v>
      </c>
      <c r="F77" s="59">
        <v>51</v>
      </c>
      <c r="G77" s="59">
        <v>58</v>
      </c>
      <c r="H77" s="59">
        <v>110</v>
      </c>
      <c r="I77" s="59">
        <v>94</v>
      </c>
      <c r="J77" s="59">
        <v>70</v>
      </c>
      <c r="K77" s="59">
        <v>81</v>
      </c>
      <c r="L77" s="59">
        <v>73</v>
      </c>
    </row>
    <row r="78" spans="2:12" x14ac:dyDescent="0.2">
      <c r="B78" s="61" t="s">
        <v>26</v>
      </c>
      <c r="C78" s="62">
        <v>359</v>
      </c>
      <c r="D78" s="62">
        <v>313</v>
      </c>
      <c r="E78" s="62">
        <v>244</v>
      </c>
      <c r="F78" s="62">
        <v>255</v>
      </c>
      <c r="G78" s="62">
        <v>234</v>
      </c>
      <c r="H78" s="62">
        <v>246</v>
      </c>
      <c r="I78" s="62">
        <v>266</v>
      </c>
      <c r="J78" s="62">
        <v>230</v>
      </c>
      <c r="K78" s="62">
        <v>318</v>
      </c>
      <c r="L78" s="62">
        <v>275</v>
      </c>
    </row>
    <row r="79" spans="2:12" x14ac:dyDescent="0.2">
      <c r="B79" s="20" t="s">
        <v>27</v>
      </c>
      <c r="C79" s="21">
        <f>SUBTOTAL(109,'Undergrad Breakdown Trend'!$C$65:$C$78)</f>
        <v>2362</v>
      </c>
      <c r="D79" s="21">
        <f>SUBTOTAL(109,'Undergrad Breakdown Trend'!$D$65:$D$78)</f>
        <v>1870</v>
      </c>
      <c r="E79" s="21">
        <f>SUBTOTAL(109,'Undergrad Breakdown Trend'!$E$65:$E$78)</f>
        <v>1682</v>
      </c>
      <c r="F79" s="21">
        <f>SUBTOTAL(109,'Undergrad Breakdown Trend'!$F$65:$F$78)</f>
        <v>1692</v>
      </c>
      <c r="G79" s="21">
        <f>SUBTOTAL(109,'Undergrad Breakdown Trend'!$G$65:$G$78)</f>
        <v>1509</v>
      </c>
      <c r="H79" s="21">
        <f>SUBTOTAL(109,'Undergrad Breakdown Trend'!$H$65:$H$78)</f>
        <v>1624</v>
      </c>
      <c r="I79" s="21">
        <f>SUBTOTAL(109,'Undergrad Breakdown Trend'!$I$65:$I$78)</f>
        <v>1543</v>
      </c>
      <c r="J79" s="21">
        <f>SUBTOTAL(109,'Undergrad Breakdown Trend'!$J$65:$J$78)</f>
        <v>1699</v>
      </c>
      <c r="K79" s="21">
        <f>SUBTOTAL(109,'Undergrad Breakdown Trend'!$K$65:$K$78)</f>
        <v>1830</v>
      </c>
      <c r="L79" s="21">
        <f>SUBTOTAL(109,'Undergrad Breakdown Trend'!$L$65:$L$78)</f>
        <v>2239</v>
      </c>
    </row>
    <row r="82" spans="2:12" ht="15" x14ac:dyDescent="0.2">
      <c r="B82" s="128" t="str">
        <f>CONCATENATE("Certificate Students ", IF(RIGHT(Parameters!B1,1) = "1","Fall ", "Spring "),IF(RIGHT(Parameters!B1,1)  = "1",LEFT(Parameters!B1,4) -9, LEFT(Parameters!B1,4)-8 ),"-",IF(RIGHT(Parameters!B1,1)  = "1",LEFT(Parameters!B1,4), LEFT(Parameters!B1,4)+1 ))</f>
        <v>Certificate Students Fall 2010-2019</v>
      </c>
      <c r="C82" s="128"/>
      <c r="D82" s="128"/>
      <c r="E82" s="128"/>
      <c r="F82" s="128"/>
      <c r="G82" s="128"/>
      <c r="H82" s="128"/>
      <c r="I82" s="128"/>
      <c r="J82" s="129"/>
      <c r="K82" s="129"/>
      <c r="L82" s="129"/>
    </row>
    <row r="83" spans="2:12" ht="30.95" customHeight="1" x14ac:dyDescent="0.2">
      <c r="B83" s="52" t="s">
        <v>1</v>
      </c>
      <c r="C83" s="52" t="str">
        <f>CONCATENATE(IF(RIGHT(Parameters!B1,1) = "1","Fall ", "Spring "),IF(RIGHT(Parameters!B1,1) = "1",LEFT(Parameters!B1,4) -9, LEFT(Parameters!B1,4) - 8))</f>
        <v>Fall 2010</v>
      </c>
      <c r="D83" s="52" t="str">
        <f>CONCATENATE(IF(RIGHT(Parameters!B1,1) = "1","Fall ", "Spring "),IF(RIGHT(Parameters!B1,1) = "1",LEFT(Parameters!B1,4) -8, LEFT(Parameters!B1,4) - 7))</f>
        <v>Fall 2011</v>
      </c>
      <c r="E83" s="52" t="str">
        <f>CONCATENATE(IF(RIGHT(Parameters!B1,1) = "1","Fall ", "Spring "),IF(RIGHT(Parameters!B1,1) = "1",LEFT(Parameters!B1,4) -7, LEFT(Parameters!B1,4) - 6))</f>
        <v>Fall 2012</v>
      </c>
      <c r="F83" s="52" t="str">
        <f>CONCATENATE(IF(RIGHT(Parameters!B1,1) = "1","Fall ", "Spring "),IF(RIGHT(Parameters!B1,1) = "1",LEFT(Parameters!B1,4) -6, LEFT(Parameters!B1,4) - 5))</f>
        <v>Fall 2013</v>
      </c>
      <c r="G83" s="52" t="str">
        <f>CONCATENATE(IF(RIGHT(Parameters!B1,1) = "1","Fall ", "Spring "),IF(RIGHT(Parameters!B1,1) = "1",LEFT(Parameters!B1,4) -5, LEFT(Parameters!B1,4) - 4))</f>
        <v>Fall 2014</v>
      </c>
      <c r="H83" s="52" t="str">
        <f>CONCATENATE(IF(RIGHT(Parameters!B1,1) = "1","Fall ", "Spring "),IF(RIGHT(Parameters!B1,1) = "1",LEFT(Parameters!B1,4) -4, LEFT(Parameters!B1,4) - 3))</f>
        <v>Fall 2015</v>
      </c>
      <c r="I83" s="52" t="str">
        <f>CONCATENATE(IF(RIGHT(Parameters!B1,1) = "1","Fall ", "Spring "),IF(RIGHT(Parameters!B1,1) = "1",LEFT(Parameters!B1,4) -3, LEFT(Parameters!B1,4) - 2))</f>
        <v>Fall 2016</v>
      </c>
      <c r="J83" s="52" t="str">
        <f>CONCATENATE(IF(RIGHT(Parameters!B1,1) = "1","Fall ", "Spring "),IF(RIGHT(Parameters!B1,1) = "1",LEFT(Parameters!B1,4) -2, LEFT(Parameters!B1,4) - 1))</f>
        <v>Fall 2017</v>
      </c>
      <c r="K83" s="52" t="str">
        <f>CONCATENATE(IF(RIGHT(Parameters!B1,1) = "1","Fall ", "Spring "),IF(RIGHT(Parameters!B1,1) = "1",LEFT(Parameters!B1,4)-1, LEFT(Parameters!B1,4) ))</f>
        <v>Fall 2018</v>
      </c>
      <c r="L83" s="52" t="str">
        <f>CONCATENATE(IF(RIGHT(Parameters!B1,1) = "1","Fall ", "Spring "),IF(RIGHT(Parameters!B1,1) = "1",LEFT(Parameters!B1,4), LEFT(Parameters!B1,4) + 1))</f>
        <v>Fall 2019</v>
      </c>
    </row>
    <row r="84" spans="2:12" ht="14.25" hidden="1" customHeight="1" x14ac:dyDescent="0.25">
      <c r="B84" s="31" t="s">
        <v>2</v>
      </c>
      <c r="C84" s="31" t="s">
        <v>3</v>
      </c>
      <c r="D84" s="31" t="s">
        <v>4</v>
      </c>
      <c r="E84" s="31" t="s">
        <v>5</v>
      </c>
      <c r="F84" s="31" t="s">
        <v>6</v>
      </c>
      <c r="G84" s="31" t="s">
        <v>7</v>
      </c>
      <c r="H84" s="31" t="s">
        <v>8</v>
      </c>
      <c r="I84" s="31" t="s">
        <v>9</v>
      </c>
      <c r="J84" s="31" t="s">
        <v>10</v>
      </c>
      <c r="K84" s="31" t="s">
        <v>11</v>
      </c>
      <c r="L84" s="31" t="s">
        <v>12</v>
      </c>
    </row>
    <row r="85" spans="2:12" x14ac:dyDescent="0.2">
      <c r="B85" s="32" t="s">
        <v>13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23</v>
      </c>
      <c r="K85" s="33">
        <v>12</v>
      </c>
      <c r="L85" s="34">
        <v>21</v>
      </c>
    </row>
    <row r="86" spans="2:12" x14ac:dyDescent="0.2">
      <c r="B86" s="35" t="s">
        <v>14</v>
      </c>
      <c r="C86" s="36">
        <v>33</v>
      </c>
      <c r="D86" s="36">
        <v>29</v>
      </c>
      <c r="E86" s="36">
        <v>13</v>
      </c>
      <c r="F86" s="36">
        <v>10</v>
      </c>
      <c r="G86" s="36">
        <v>5</v>
      </c>
      <c r="H86" s="36">
        <v>11</v>
      </c>
      <c r="I86" s="36">
        <v>16</v>
      </c>
      <c r="J86" s="36">
        <v>21</v>
      </c>
      <c r="K86" s="36">
        <v>32</v>
      </c>
      <c r="L86" s="29">
        <v>42</v>
      </c>
    </row>
    <row r="87" spans="2:12" x14ac:dyDescent="0.2">
      <c r="B87" s="35" t="s">
        <v>16</v>
      </c>
      <c r="C87" s="36">
        <v>0</v>
      </c>
      <c r="D87" s="36">
        <v>1</v>
      </c>
      <c r="E87" s="36">
        <v>2</v>
      </c>
      <c r="F87" s="36">
        <v>0</v>
      </c>
      <c r="G87" s="36">
        <v>0</v>
      </c>
      <c r="H87" s="36">
        <v>0</v>
      </c>
      <c r="I87" s="36">
        <v>1</v>
      </c>
      <c r="J87" s="36">
        <v>47</v>
      </c>
      <c r="K87" s="36">
        <v>48</v>
      </c>
      <c r="L87" s="29">
        <v>38</v>
      </c>
    </row>
    <row r="88" spans="2:12" x14ac:dyDescent="0.2">
      <c r="B88" s="35" t="s">
        <v>17</v>
      </c>
      <c r="C88" s="36">
        <v>0</v>
      </c>
      <c r="D88" s="36">
        <v>0</v>
      </c>
      <c r="E88" s="36">
        <v>0</v>
      </c>
      <c r="F88" s="36">
        <v>0</v>
      </c>
      <c r="G88" s="36">
        <v>0</v>
      </c>
      <c r="H88" s="36">
        <v>0</v>
      </c>
      <c r="I88" s="36">
        <v>0</v>
      </c>
      <c r="J88" s="36">
        <v>1</v>
      </c>
      <c r="K88" s="36">
        <v>0</v>
      </c>
      <c r="L88" s="29">
        <v>0</v>
      </c>
    </row>
    <row r="89" spans="2:12" x14ac:dyDescent="0.2">
      <c r="B89" s="35" t="s">
        <v>18</v>
      </c>
      <c r="C89" s="36">
        <v>0</v>
      </c>
      <c r="D89" s="36">
        <v>0</v>
      </c>
      <c r="E89" s="36">
        <v>0</v>
      </c>
      <c r="F89" s="36">
        <v>0</v>
      </c>
      <c r="G89" s="36">
        <v>2</v>
      </c>
      <c r="H89" s="36">
        <v>1</v>
      </c>
      <c r="I89" s="36">
        <v>0</v>
      </c>
      <c r="J89" s="36">
        <v>0</v>
      </c>
      <c r="K89" s="36">
        <v>0</v>
      </c>
      <c r="L89" s="29">
        <v>0</v>
      </c>
    </row>
    <row r="90" spans="2:12" x14ac:dyDescent="0.2">
      <c r="B90" s="35" t="s">
        <v>19</v>
      </c>
      <c r="C90" s="36">
        <v>72</v>
      </c>
      <c r="D90" s="36">
        <v>67</v>
      </c>
      <c r="E90" s="36">
        <v>337</v>
      </c>
      <c r="F90" s="36">
        <v>297</v>
      </c>
      <c r="G90" s="36">
        <v>295</v>
      </c>
      <c r="H90" s="36">
        <v>335</v>
      </c>
      <c r="I90" s="36">
        <v>304</v>
      </c>
      <c r="J90" s="36">
        <v>289</v>
      </c>
      <c r="K90" s="36">
        <v>338</v>
      </c>
      <c r="L90" s="29">
        <v>289</v>
      </c>
    </row>
    <row r="91" spans="2:12" x14ac:dyDescent="0.2">
      <c r="B91" s="35" t="s">
        <v>23</v>
      </c>
      <c r="C91" s="36">
        <v>0</v>
      </c>
      <c r="D91" s="36">
        <v>0</v>
      </c>
      <c r="E91" s="36">
        <v>0</v>
      </c>
      <c r="F91" s="36">
        <v>0</v>
      </c>
      <c r="G91" s="36">
        <v>0</v>
      </c>
      <c r="H91" s="36">
        <v>0</v>
      </c>
      <c r="I91" s="36">
        <v>0</v>
      </c>
      <c r="J91" s="36">
        <v>0</v>
      </c>
      <c r="K91" s="36">
        <v>0</v>
      </c>
      <c r="L91" s="29">
        <v>1</v>
      </c>
    </row>
    <row r="92" spans="2:12" x14ac:dyDescent="0.2">
      <c r="B92" s="35" t="s">
        <v>24</v>
      </c>
      <c r="C92" s="36">
        <v>0</v>
      </c>
      <c r="D92" s="36">
        <v>0</v>
      </c>
      <c r="E92" s="36">
        <v>0</v>
      </c>
      <c r="F92" s="36">
        <v>0</v>
      </c>
      <c r="G92" s="36">
        <v>0</v>
      </c>
      <c r="H92" s="36">
        <v>0</v>
      </c>
      <c r="I92" s="36">
        <v>0</v>
      </c>
      <c r="J92" s="36">
        <v>0</v>
      </c>
      <c r="K92" s="36">
        <v>0</v>
      </c>
      <c r="L92" s="29">
        <v>2</v>
      </c>
    </row>
    <row r="93" spans="2:12" x14ac:dyDescent="0.2">
      <c r="B93" s="35" t="s">
        <v>25</v>
      </c>
      <c r="C93" s="36">
        <v>104</v>
      </c>
      <c r="D93" s="36">
        <v>3</v>
      </c>
      <c r="E93" s="36">
        <v>3</v>
      </c>
      <c r="F93" s="36">
        <v>4</v>
      </c>
      <c r="G93" s="36">
        <v>3</v>
      </c>
      <c r="H93" s="36">
        <v>2</v>
      </c>
      <c r="I93" s="36">
        <v>1</v>
      </c>
      <c r="J93" s="36">
        <v>1</v>
      </c>
      <c r="K93" s="36">
        <v>3</v>
      </c>
      <c r="L93" s="29">
        <v>1</v>
      </c>
    </row>
    <row r="94" spans="2:12" x14ac:dyDescent="0.2">
      <c r="B94" s="35" t="s">
        <v>26</v>
      </c>
      <c r="C94" s="36">
        <v>0</v>
      </c>
      <c r="D94" s="36">
        <v>0</v>
      </c>
      <c r="E94" s="36">
        <v>0</v>
      </c>
      <c r="F94" s="36">
        <v>0</v>
      </c>
      <c r="G94" s="36">
        <v>0</v>
      </c>
      <c r="H94" s="36">
        <v>19</v>
      </c>
      <c r="I94" s="36">
        <v>9</v>
      </c>
      <c r="J94" s="36">
        <v>21</v>
      </c>
      <c r="K94" s="36">
        <v>14</v>
      </c>
      <c r="L94" s="29">
        <v>12</v>
      </c>
    </row>
    <row r="95" spans="2:12" ht="15" x14ac:dyDescent="0.25">
      <c r="B95" s="37" t="s">
        <v>27</v>
      </c>
      <c r="C95" s="38">
        <f>SUBTOTAL(109,'Undergrad Breakdown Trend'!$C$85:$C$94)</f>
        <v>209</v>
      </c>
      <c r="D95" s="38">
        <f>SUBTOTAL(109,'Undergrad Breakdown Trend'!$D$85:$D$94)</f>
        <v>100</v>
      </c>
      <c r="E95" s="38">
        <f>SUBTOTAL(109,'Undergrad Breakdown Trend'!$E$85:$E$94)</f>
        <v>355</v>
      </c>
      <c r="F95" s="38">
        <f>SUBTOTAL(109,'Undergrad Breakdown Trend'!$F$85:$F$94)</f>
        <v>311</v>
      </c>
      <c r="G95" s="38">
        <f>SUBTOTAL(109,'Undergrad Breakdown Trend'!$G$85:$G$94)</f>
        <v>305</v>
      </c>
      <c r="H95" s="38">
        <f>SUBTOTAL(109,'Undergrad Breakdown Trend'!$H$85:$H$94)</f>
        <v>368</v>
      </c>
      <c r="I95" s="38">
        <f>SUBTOTAL(109,'Undergrad Breakdown Trend'!$I$85:$I$94)</f>
        <v>331</v>
      </c>
      <c r="J95" s="38">
        <f>SUBTOTAL(109,'Undergrad Breakdown Trend'!$J$85:$J$94)</f>
        <v>403</v>
      </c>
      <c r="K95" s="38">
        <f>SUBTOTAL(109,'Undergrad Breakdown Trend'!$K$85:$K$94)</f>
        <v>447</v>
      </c>
      <c r="L95" s="30">
        <f>SUBTOTAL(109,'Undergrad Breakdown Trend'!$L$85:$L$94)</f>
        <v>406</v>
      </c>
    </row>
    <row r="97" spans="2:2" x14ac:dyDescent="0.2">
      <c r="B97" s="12" t="s">
        <v>32</v>
      </c>
    </row>
    <row r="98" spans="2:2" x14ac:dyDescent="0.2">
      <c r="B98" s="13" t="s">
        <v>29</v>
      </c>
    </row>
    <row r="99" spans="2:2" x14ac:dyDescent="0.2">
      <c r="B99" s="13" t="s">
        <v>30</v>
      </c>
    </row>
    <row r="100" spans="2:2" x14ac:dyDescent="0.2">
      <c r="B100" s="9" t="s">
        <v>31</v>
      </c>
    </row>
  </sheetData>
  <mergeCells count="6">
    <mergeCell ref="B82:L82"/>
    <mergeCell ref="B22:L22"/>
    <mergeCell ref="B42:L42"/>
    <mergeCell ref="B62:L62"/>
    <mergeCell ref="B1:L1"/>
    <mergeCell ref="B2:L2"/>
  </mergeCells>
  <printOptions horizontalCentered="1"/>
  <pageMargins left="0.5" right="0.5" top="1" bottom="0.5" header="0.3" footer="0.3"/>
  <pageSetup scale="70" fitToHeight="0" orientation="landscape" r:id="rId1"/>
  <headerFooter>
    <oddHeader>&amp;L&amp;"Arial,Regular"&amp;10Pennsylvania's State System of Higher Education | &amp;D
Office of Educational Intelligence | Page &amp;P of &amp;N</oddHeader>
  </headerFooter>
  <rowBreaks count="1" manualBreakCount="1">
    <brk id="41" min="1" max="11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B1:AA77"/>
  <sheetViews>
    <sheetView zoomScaleNormal="100" workbookViewId="0">
      <selection activeCell="B1" sqref="B1:L1"/>
    </sheetView>
  </sheetViews>
  <sheetFormatPr defaultRowHeight="14.25" x14ac:dyDescent="0.2"/>
  <cols>
    <col min="1" max="1" width="9.140625" style="5"/>
    <col min="2" max="2" width="23.5703125" style="5" customWidth="1"/>
    <col min="3" max="3" width="14.28515625" style="5" customWidth="1"/>
    <col min="4" max="4" width="13.42578125" style="5" customWidth="1"/>
    <col min="5" max="5" width="14.85546875" style="5" customWidth="1"/>
    <col min="6" max="6" width="14.42578125" style="5" customWidth="1"/>
    <col min="7" max="7" width="14" style="5" customWidth="1"/>
    <col min="8" max="8" width="14.28515625" style="5" customWidth="1"/>
    <col min="9" max="9" width="14" style="5" customWidth="1"/>
    <col min="10" max="11" width="14.140625" style="5" customWidth="1"/>
    <col min="12" max="12" width="14.85546875" style="5" customWidth="1"/>
    <col min="13" max="26" width="9.140625" style="5"/>
    <col min="27" max="27" width="15.85546875" style="5" bestFit="1" customWidth="1"/>
    <col min="28" max="16384" width="9.140625" style="5"/>
  </cols>
  <sheetData>
    <row r="1" spans="2:27" ht="15" x14ac:dyDescent="0.2">
      <c r="B1" s="126" t="s">
        <v>0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97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</row>
    <row r="2" spans="2:27" ht="15" x14ac:dyDescent="0.2">
      <c r="B2" s="127" t="str">
        <f>CONCATENATE("Total Students by Pennsylvania County ",  IF(RIGHT(Parameters!B1,1) = "1","Fall ", "Spring "),IF(RIGHT(Parameters!B1,1)  = "1",LEFT(Parameters!B1,4) -9, LEFT(Parameters!B1,4)-8 ),"-",IF(RIGHT(Parameters!B1,1)  = "1",LEFT(Parameters!B1,4), LEFT(Parameters!B1,4)+1 ))</f>
        <v>Total Students by Pennsylvania County Fall 2010-2019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98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</row>
    <row r="3" spans="2:27" ht="15" x14ac:dyDescent="0.2">
      <c r="B3" s="127" t="s">
        <v>277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99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</row>
    <row r="4" spans="2:27" ht="30.95" customHeight="1" x14ac:dyDescent="0.2">
      <c r="B4" s="52" t="s">
        <v>278</v>
      </c>
      <c r="C4" s="52" t="str">
        <f>CONCATENATE(IF(RIGHT(Parameters!B1,1) = "1","Fall ", "Spring "),IF(RIGHT(Parameters!B1,1) = "1",LEFT(Parameters!B1,4) -9, LEFT(Parameters!B1,4) - 8))</f>
        <v>Fall 2010</v>
      </c>
      <c r="D4" s="52" t="str">
        <f>CONCATENATE(IF(RIGHT(Parameters!B1,1) = "1","Fall ", "Spring "),IF(RIGHT(Parameters!B1,1) = "1",LEFT(Parameters!B1,4) -8, LEFT(Parameters!B1,4) - 7))</f>
        <v>Fall 2011</v>
      </c>
      <c r="E4" s="52" t="str">
        <f>CONCATENATE(IF(RIGHT(Parameters!B1,1) = "1","Fall ", "Spring "),IF(RIGHT(Parameters!B1,1) = "1",LEFT(Parameters!B1,4) -7, LEFT(Parameters!B1,4) - 6))</f>
        <v>Fall 2012</v>
      </c>
      <c r="F4" s="52" t="str">
        <f>CONCATENATE(IF(RIGHT(Parameters!B1,1) = "1","Fall ", "Spring "),IF(RIGHT(Parameters!B1,1) = "1",LEFT(Parameters!B1,4) -6, LEFT(Parameters!B1,4) - 5))</f>
        <v>Fall 2013</v>
      </c>
      <c r="G4" s="52" t="str">
        <f>CONCATENATE(IF(RIGHT(Parameters!B1,1) = "1","Fall ", "Spring "),IF(RIGHT(Parameters!B1,1) = "1",LEFT(Parameters!B1,4) -5, LEFT(Parameters!B1,4) - 4))</f>
        <v>Fall 2014</v>
      </c>
      <c r="H4" s="52" t="str">
        <f>CONCATENATE(IF(RIGHT(Parameters!B1,1) = "1","Fall ", "Spring "),IF(RIGHT(Parameters!B1,1) = "1",LEFT(Parameters!B1,4) -4, LEFT(Parameters!B1,4) - 3))</f>
        <v>Fall 2015</v>
      </c>
      <c r="I4" s="52" t="str">
        <f>CONCATENATE(IF(RIGHT(Parameters!B1,1) = "1","Fall ", "Spring "),IF(RIGHT(Parameters!B1,1) = "1",LEFT(Parameters!B1,4) -3, LEFT(Parameters!B1,4) -2 ))</f>
        <v>Fall 2016</v>
      </c>
      <c r="J4" s="52" t="str">
        <f>CONCATENATE(IF(RIGHT(Parameters!B1,1) = "1","Fall ", "Spring "),IF(RIGHT(Parameters!B1,1) = "1",LEFT(Parameters!B1,4) -2, LEFT(Parameters!B1,4) -1 ))</f>
        <v>Fall 2017</v>
      </c>
      <c r="K4" s="52" t="str">
        <f>CONCATENATE(IF(RIGHT(Parameters!B1,1) = "1","Fall ", "Spring "),IF(RIGHT(Parameters!B1,1) = "1",LEFT(Parameters!B1,4) -1, LEFT(Parameters!B1,4)  ))</f>
        <v>Fall 2018</v>
      </c>
      <c r="L4" s="52" t="str">
        <f>CONCATENATE(IF(RIGHT(Parameters!B1,1) = "1","Fall ", "Spring "),IF(RIGHT(Parameters!B1,1) = "1",LEFT(Parameters!B1,4), LEFT(Parameters!B1,4) + 1))</f>
        <v>Fall 2019</v>
      </c>
      <c r="M4" s="91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</row>
    <row r="5" spans="2:27" ht="15" hidden="1" customHeight="1" x14ac:dyDescent="0.2">
      <c r="B5" s="100" t="s">
        <v>279</v>
      </c>
      <c r="C5" s="101" t="s">
        <v>3</v>
      </c>
      <c r="D5" s="101" t="s">
        <v>4</v>
      </c>
      <c r="E5" s="101" t="s">
        <v>5</v>
      </c>
      <c r="F5" s="101" t="s">
        <v>6</v>
      </c>
      <c r="G5" s="101" t="s">
        <v>7</v>
      </c>
      <c r="H5" s="101" t="s">
        <v>8</v>
      </c>
      <c r="I5" s="101" t="s">
        <v>9</v>
      </c>
      <c r="J5" s="101" t="s">
        <v>10</v>
      </c>
      <c r="K5" s="101" t="s">
        <v>11</v>
      </c>
      <c r="L5" s="102" t="s">
        <v>12</v>
      </c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</row>
    <row r="6" spans="2:27" x14ac:dyDescent="0.2">
      <c r="B6" s="103" t="s">
        <v>280</v>
      </c>
      <c r="C6" s="104">
        <v>876</v>
      </c>
      <c r="D6" s="104">
        <v>887</v>
      </c>
      <c r="E6" s="104">
        <v>821</v>
      </c>
      <c r="F6" s="104">
        <v>745</v>
      </c>
      <c r="G6" s="104">
        <v>706</v>
      </c>
      <c r="H6" s="104">
        <v>666</v>
      </c>
      <c r="I6" s="104">
        <v>656</v>
      </c>
      <c r="J6" s="104">
        <v>623</v>
      </c>
      <c r="K6" s="104">
        <v>598</v>
      </c>
      <c r="L6" s="104">
        <v>615</v>
      </c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</row>
    <row r="7" spans="2:27" x14ac:dyDescent="0.2">
      <c r="B7" s="105" t="s">
        <v>281</v>
      </c>
      <c r="C7" s="106">
        <v>7944</v>
      </c>
      <c r="D7" s="106">
        <v>7831</v>
      </c>
      <c r="E7" s="106">
        <v>7570</v>
      </c>
      <c r="F7" s="106">
        <v>7197</v>
      </c>
      <c r="G7" s="106">
        <v>7057</v>
      </c>
      <c r="H7" s="106">
        <v>6827</v>
      </c>
      <c r="I7" s="106">
        <v>6607</v>
      </c>
      <c r="J7" s="106">
        <v>6564</v>
      </c>
      <c r="K7" s="106">
        <v>6253</v>
      </c>
      <c r="L7" s="106">
        <v>5939</v>
      </c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</row>
    <row r="8" spans="2:27" x14ac:dyDescent="0.2">
      <c r="B8" s="105" t="s">
        <v>282</v>
      </c>
      <c r="C8" s="106">
        <v>1041</v>
      </c>
      <c r="D8" s="106">
        <v>1025</v>
      </c>
      <c r="E8" s="106">
        <v>923</v>
      </c>
      <c r="F8" s="106">
        <v>863</v>
      </c>
      <c r="G8" s="106">
        <v>820</v>
      </c>
      <c r="H8" s="106">
        <v>731</v>
      </c>
      <c r="I8" s="106">
        <v>706</v>
      </c>
      <c r="J8" s="106">
        <v>653</v>
      </c>
      <c r="K8" s="106">
        <v>651</v>
      </c>
      <c r="L8" s="106">
        <v>646</v>
      </c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 t="s">
        <v>277</v>
      </c>
    </row>
    <row r="9" spans="2:27" x14ac:dyDescent="0.2">
      <c r="B9" s="105" t="s">
        <v>283</v>
      </c>
      <c r="C9" s="106">
        <v>1302</v>
      </c>
      <c r="D9" s="106">
        <v>1260</v>
      </c>
      <c r="E9" s="106">
        <v>1244</v>
      </c>
      <c r="F9" s="106">
        <v>1189</v>
      </c>
      <c r="G9" s="106">
        <v>1124</v>
      </c>
      <c r="H9" s="106">
        <v>1082</v>
      </c>
      <c r="I9" s="106">
        <v>1045</v>
      </c>
      <c r="J9" s="106">
        <v>1009</v>
      </c>
      <c r="K9" s="106">
        <v>925</v>
      </c>
      <c r="L9" s="106">
        <v>861</v>
      </c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 t="s">
        <v>13</v>
      </c>
    </row>
    <row r="10" spans="2:27" x14ac:dyDescent="0.2">
      <c r="B10" s="105" t="s">
        <v>284</v>
      </c>
      <c r="C10" s="106">
        <v>258</v>
      </c>
      <c r="D10" s="106">
        <v>246</v>
      </c>
      <c r="E10" s="106">
        <v>233</v>
      </c>
      <c r="F10" s="106">
        <v>212</v>
      </c>
      <c r="G10" s="106">
        <v>203</v>
      </c>
      <c r="H10" s="106">
        <v>203</v>
      </c>
      <c r="I10" s="106">
        <v>208</v>
      </c>
      <c r="J10" s="106">
        <v>184</v>
      </c>
      <c r="K10" s="106">
        <v>184</v>
      </c>
      <c r="L10" s="106">
        <v>189</v>
      </c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 t="s">
        <v>14</v>
      </c>
    </row>
    <row r="11" spans="2:27" x14ac:dyDescent="0.2">
      <c r="B11" s="105" t="s">
        <v>285</v>
      </c>
      <c r="C11" s="106">
        <v>4412</v>
      </c>
      <c r="D11" s="106">
        <v>4161</v>
      </c>
      <c r="E11" s="106">
        <v>3953</v>
      </c>
      <c r="F11" s="106">
        <v>3877</v>
      </c>
      <c r="G11" s="106">
        <v>3760</v>
      </c>
      <c r="H11" s="106">
        <v>3533</v>
      </c>
      <c r="I11" s="106">
        <v>3424</v>
      </c>
      <c r="J11" s="106">
        <v>3385</v>
      </c>
      <c r="K11" s="106">
        <v>3396</v>
      </c>
      <c r="L11" s="106">
        <v>3409</v>
      </c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 t="s">
        <v>15</v>
      </c>
    </row>
    <row r="12" spans="2:27" x14ac:dyDescent="0.2">
      <c r="B12" s="105" t="s">
        <v>286</v>
      </c>
      <c r="C12" s="106">
        <v>632</v>
      </c>
      <c r="D12" s="106">
        <v>666</v>
      </c>
      <c r="E12" s="106">
        <v>660</v>
      </c>
      <c r="F12" s="106">
        <v>618</v>
      </c>
      <c r="G12" s="106">
        <v>592</v>
      </c>
      <c r="H12" s="106">
        <v>577</v>
      </c>
      <c r="I12" s="106">
        <v>556</v>
      </c>
      <c r="J12" s="106">
        <v>554</v>
      </c>
      <c r="K12" s="106">
        <v>539</v>
      </c>
      <c r="L12" s="106">
        <v>529</v>
      </c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 t="s">
        <v>16</v>
      </c>
    </row>
    <row r="13" spans="2:27" x14ac:dyDescent="0.2">
      <c r="B13" s="105" t="s">
        <v>287</v>
      </c>
      <c r="C13" s="106">
        <v>840</v>
      </c>
      <c r="D13" s="106">
        <v>781</v>
      </c>
      <c r="E13" s="106">
        <v>675</v>
      </c>
      <c r="F13" s="106">
        <v>637</v>
      </c>
      <c r="G13" s="106">
        <v>642</v>
      </c>
      <c r="H13" s="106">
        <v>600</v>
      </c>
      <c r="I13" s="106">
        <v>561</v>
      </c>
      <c r="J13" s="106">
        <v>499</v>
      </c>
      <c r="K13" s="106">
        <v>476</v>
      </c>
      <c r="L13" s="106">
        <v>466</v>
      </c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 t="s">
        <v>17</v>
      </c>
    </row>
    <row r="14" spans="2:27" x14ac:dyDescent="0.2">
      <c r="B14" s="105" t="s">
        <v>288</v>
      </c>
      <c r="C14" s="106">
        <v>4214</v>
      </c>
      <c r="D14" s="106">
        <v>4318</v>
      </c>
      <c r="E14" s="106">
        <v>4152</v>
      </c>
      <c r="F14" s="106">
        <v>4179</v>
      </c>
      <c r="G14" s="106">
        <v>4145</v>
      </c>
      <c r="H14" s="106">
        <v>4127</v>
      </c>
      <c r="I14" s="106">
        <v>3951</v>
      </c>
      <c r="J14" s="106">
        <v>3748</v>
      </c>
      <c r="K14" s="106">
        <v>3631</v>
      </c>
      <c r="L14" s="106">
        <v>3446</v>
      </c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 t="s">
        <v>18</v>
      </c>
    </row>
    <row r="15" spans="2:27" x14ac:dyDescent="0.2">
      <c r="B15" s="105" t="s">
        <v>289</v>
      </c>
      <c r="C15" s="106">
        <v>2242</v>
      </c>
      <c r="D15" s="106">
        <v>2266</v>
      </c>
      <c r="E15" s="106">
        <v>2174</v>
      </c>
      <c r="F15" s="106">
        <v>2079</v>
      </c>
      <c r="G15" s="106">
        <v>2076</v>
      </c>
      <c r="H15" s="106">
        <v>2070</v>
      </c>
      <c r="I15" s="106">
        <v>2006</v>
      </c>
      <c r="J15" s="106">
        <v>1918</v>
      </c>
      <c r="K15" s="106">
        <v>1878</v>
      </c>
      <c r="L15" s="106">
        <v>1858</v>
      </c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 t="s">
        <v>19</v>
      </c>
    </row>
    <row r="16" spans="2:27" x14ac:dyDescent="0.2">
      <c r="B16" s="105" t="s">
        <v>290</v>
      </c>
      <c r="C16" s="106">
        <v>1235</v>
      </c>
      <c r="D16" s="106">
        <v>1116</v>
      </c>
      <c r="E16" s="106">
        <v>1061</v>
      </c>
      <c r="F16" s="106">
        <v>994</v>
      </c>
      <c r="G16" s="106">
        <v>1042</v>
      </c>
      <c r="H16" s="106">
        <v>1007</v>
      </c>
      <c r="I16" s="106">
        <v>1038</v>
      </c>
      <c r="J16" s="106">
        <v>996</v>
      </c>
      <c r="K16" s="106">
        <v>936</v>
      </c>
      <c r="L16" s="106">
        <v>905</v>
      </c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 t="s">
        <v>20</v>
      </c>
    </row>
    <row r="17" spans="2:27" x14ac:dyDescent="0.2">
      <c r="B17" s="105" t="s">
        <v>291</v>
      </c>
      <c r="C17" s="106">
        <v>79</v>
      </c>
      <c r="D17" s="106">
        <v>82</v>
      </c>
      <c r="E17" s="106">
        <v>79</v>
      </c>
      <c r="F17" s="106">
        <v>82</v>
      </c>
      <c r="G17" s="106">
        <v>65</v>
      </c>
      <c r="H17" s="106">
        <v>57</v>
      </c>
      <c r="I17" s="106">
        <v>44</v>
      </c>
      <c r="J17" s="106">
        <v>47</v>
      </c>
      <c r="K17" s="106">
        <v>45</v>
      </c>
      <c r="L17" s="106">
        <v>37</v>
      </c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 t="s">
        <v>21</v>
      </c>
    </row>
    <row r="18" spans="2:27" x14ac:dyDescent="0.2">
      <c r="B18" s="105" t="s">
        <v>292</v>
      </c>
      <c r="C18" s="106">
        <v>513</v>
      </c>
      <c r="D18" s="106">
        <v>543</v>
      </c>
      <c r="E18" s="106">
        <v>464</v>
      </c>
      <c r="F18" s="106">
        <v>465</v>
      </c>
      <c r="G18" s="106">
        <v>456</v>
      </c>
      <c r="H18" s="106">
        <v>440</v>
      </c>
      <c r="I18" s="106">
        <v>435</v>
      </c>
      <c r="J18" s="106">
        <v>429</v>
      </c>
      <c r="K18" s="106">
        <v>425</v>
      </c>
      <c r="L18" s="106">
        <v>415</v>
      </c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 t="s">
        <v>22</v>
      </c>
    </row>
    <row r="19" spans="2:27" x14ac:dyDescent="0.2">
      <c r="B19" s="105" t="s">
        <v>293</v>
      </c>
      <c r="C19" s="106">
        <v>808</v>
      </c>
      <c r="D19" s="106">
        <v>761</v>
      </c>
      <c r="E19" s="106">
        <v>720</v>
      </c>
      <c r="F19" s="106">
        <v>745</v>
      </c>
      <c r="G19" s="106">
        <v>702</v>
      </c>
      <c r="H19" s="106">
        <v>742</v>
      </c>
      <c r="I19" s="106">
        <v>689</v>
      </c>
      <c r="J19" s="106">
        <v>692</v>
      </c>
      <c r="K19" s="106">
        <v>703</v>
      </c>
      <c r="L19" s="106">
        <v>699</v>
      </c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 t="s">
        <v>23</v>
      </c>
    </row>
    <row r="20" spans="2:27" x14ac:dyDescent="0.2">
      <c r="B20" s="105" t="s">
        <v>294</v>
      </c>
      <c r="C20" s="106">
        <v>6005</v>
      </c>
      <c r="D20" s="106">
        <v>5989</v>
      </c>
      <c r="E20" s="106">
        <v>5981</v>
      </c>
      <c r="F20" s="106">
        <v>5995</v>
      </c>
      <c r="G20" s="106">
        <v>5998</v>
      </c>
      <c r="H20" s="106">
        <v>6098</v>
      </c>
      <c r="I20" s="106">
        <v>6186</v>
      </c>
      <c r="J20" s="106">
        <v>6263</v>
      </c>
      <c r="K20" s="106">
        <v>6351</v>
      </c>
      <c r="L20" s="106">
        <v>6317</v>
      </c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 t="s">
        <v>24</v>
      </c>
    </row>
    <row r="21" spans="2:27" x14ac:dyDescent="0.2">
      <c r="B21" s="105" t="s">
        <v>16</v>
      </c>
      <c r="C21" s="106">
        <v>968</v>
      </c>
      <c r="D21" s="106">
        <v>978</v>
      </c>
      <c r="E21" s="106">
        <v>924</v>
      </c>
      <c r="F21" s="106">
        <v>904</v>
      </c>
      <c r="G21" s="106">
        <v>885</v>
      </c>
      <c r="H21" s="106">
        <v>873</v>
      </c>
      <c r="I21" s="106">
        <v>839</v>
      </c>
      <c r="J21" s="106">
        <v>796</v>
      </c>
      <c r="K21" s="106">
        <v>699</v>
      </c>
      <c r="L21" s="106">
        <v>712</v>
      </c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 t="s">
        <v>25</v>
      </c>
    </row>
    <row r="22" spans="2:27" x14ac:dyDescent="0.2">
      <c r="B22" s="105" t="s">
        <v>295</v>
      </c>
      <c r="C22" s="106">
        <v>1071</v>
      </c>
      <c r="D22" s="106">
        <v>1005</v>
      </c>
      <c r="E22" s="106">
        <v>972</v>
      </c>
      <c r="F22" s="106">
        <v>930</v>
      </c>
      <c r="G22" s="106">
        <v>884</v>
      </c>
      <c r="H22" s="106">
        <v>862</v>
      </c>
      <c r="I22" s="106">
        <v>876</v>
      </c>
      <c r="J22" s="106">
        <v>861</v>
      </c>
      <c r="K22" s="106">
        <v>849</v>
      </c>
      <c r="L22" s="106">
        <v>767</v>
      </c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 t="s">
        <v>26</v>
      </c>
    </row>
    <row r="23" spans="2:27" x14ac:dyDescent="0.2">
      <c r="B23" s="105" t="s">
        <v>296</v>
      </c>
      <c r="C23" s="106">
        <v>673</v>
      </c>
      <c r="D23" s="106">
        <v>622</v>
      </c>
      <c r="E23" s="106">
        <v>605</v>
      </c>
      <c r="F23" s="106">
        <v>613</v>
      </c>
      <c r="G23" s="106">
        <v>600</v>
      </c>
      <c r="H23" s="106">
        <v>591</v>
      </c>
      <c r="I23" s="106">
        <v>603</v>
      </c>
      <c r="J23" s="106">
        <v>532</v>
      </c>
      <c r="K23" s="106">
        <v>511</v>
      </c>
      <c r="L23" s="106">
        <v>520</v>
      </c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</row>
    <row r="24" spans="2:27" x14ac:dyDescent="0.2">
      <c r="B24" s="105" t="s">
        <v>297</v>
      </c>
      <c r="C24" s="106">
        <v>1182</v>
      </c>
      <c r="D24" s="106">
        <v>1165</v>
      </c>
      <c r="E24" s="106">
        <v>1089</v>
      </c>
      <c r="F24" s="106">
        <v>1100</v>
      </c>
      <c r="G24" s="106">
        <v>1074</v>
      </c>
      <c r="H24" s="106">
        <v>998</v>
      </c>
      <c r="I24" s="106">
        <v>1021</v>
      </c>
      <c r="J24" s="106">
        <v>992</v>
      </c>
      <c r="K24" s="106">
        <v>968</v>
      </c>
      <c r="L24" s="106">
        <v>991</v>
      </c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</row>
    <row r="25" spans="2:27" x14ac:dyDescent="0.2">
      <c r="B25" s="105" t="s">
        <v>298</v>
      </c>
      <c r="C25" s="106">
        <v>1592</v>
      </c>
      <c r="D25" s="106">
        <v>1414</v>
      </c>
      <c r="E25" s="106">
        <v>1234</v>
      </c>
      <c r="F25" s="106">
        <v>1134</v>
      </c>
      <c r="G25" s="106">
        <v>1033</v>
      </c>
      <c r="H25" s="106">
        <v>949</v>
      </c>
      <c r="I25" s="106">
        <v>895</v>
      </c>
      <c r="J25" s="106">
        <v>857</v>
      </c>
      <c r="K25" s="106">
        <v>836</v>
      </c>
      <c r="L25" s="106">
        <v>830</v>
      </c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</row>
    <row r="26" spans="2:27" x14ac:dyDescent="0.2">
      <c r="B26" s="105" t="s">
        <v>299</v>
      </c>
      <c r="C26" s="106">
        <v>2760</v>
      </c>
      <c r="D26" s="106">
        <v>2755</v>
      </c>
      <c r="E26" s="106">
        <v>2776</v>
      </c>
      <c r="F26" s="106">
        <v>2705</v>
      </c>
      <c r="G26" s="106">
        <v>2539</v>
      </c>
      <c r="H26" s="106">
        <v>2356</v>
      </c>
      <c r="I26" s="106">
        <v>2331</v>
      </c>
      <c r="J26" s="106">
        <v>2325</v>
      </c>
      <c r="K26" s="106">
        <v>2269</v>
      </c>
      <c r="L26" s="106">
        <v>2220</v>
      </c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</row>
    <row r="27" spans="2:27" x14ac:dyDescent="0.2">
      <c r="B27" s="105" t="s">
        <v>300</v>
      </c>
      <c r="C27" s="106">
        <v>2020</v>
      </c>
      <c r="D27" s="106">
        <v>1975</v>
      </c>
      <c r="E27" s="106">
        <v>1900</v>
      </c>
      <c r="F27" s="106">
        <v>1968</v>
      </c>
      <c r="G27" s="106">
        <v>1955</v>
      </c>
      <c r="H27" s="106">
        <v>1883</v>
      </c>
      <c r="I27" s="106">
        <v>1848</v>
      </c>
      <c r="J27" s="106">
        <v>1775</v>
      </c>
      <c r="K27" s="106">
        <v>1766</v>
      </c>
      <c r="L27" s="106">
        <v>1728</v>
      </c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</row>
    <row r="28" spans="2:27" x14ac:dyDescent="0.2">
      <c r="B28" s="105" t="s">
        <v>301</v>
      </c>
      <c r="C28" s="106">
        <v>3940</v>
      </c>
      <c r="D28" s="106">
        <v>4022</v>
      </c>
      <c r="E28" s="106">
        <v>4205</v>
      </c>
      <c r="F28" s="106">
        <v>4221</v>
      </c>
      <c r="G28" s="106">
        <v>4206</v>
      </c>
      <c r="H28" s="106">
        <v>4275</v>
      </c>
      <c r="I28" s="106">
        <v>4351</v>
      </c>
      <c r="J28" s="106">
        <v>4335</v>
      </c>
      <c r="K28" s="106">
        <v>4100</v>
      </c>
      <c r="L28" s="106">
        <v>4002</v>
      </c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</row>
    <row r="29" spans="2:27" x14ac:dyDescent="0.2">
      <c r="B29" s="105" t="s">
        <v>302</v>
      </c>
      <c r="C29" s="106">
        <v>545</v>
      </c>
      <c r="D29" s="106">
        <v>542</v>
      </c>
      <c r="E29" s="106">
        <v>518</v>
      </c>
      <c r="F29" s="106">
        <v>462</v>
      </c>
      <c r="G29" s="106">
        <v>399</v>
      </c>
      <c r="H29" s="106">
        <v>337</v>
      </c>
      <c r="I29" s="106">
        <v>341</v>
      </c>
      <c r="J29" s="106">
        <v>320</v>
      </c>
      <c r="K29" s="106">
        <v>303</v>
      </c>
      <c r="L29" s="106">
        <v>319</v>
      </c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</row>
    <row r="30" spans="2:27" x14ac:dyDescent="0.2">
      <c r="B30" s="105" t="s">
        <v>303</v>
      </c>
      <c r="C30" s="106">
        <v>4551</v>
      </c>
      <c r="D30" s="106">
        <v>4171</v>
      </c>
      <c r="E30" s="106">
        <v>3761</v>
      </c>
      <c r="F30" s="106">
        <v>3592</v>
      </c>
      <c r="G30" s="106">
        <v>3478</v>
      </c>
      <c r="H30" s="106">
        <v>3256</v>
      </c>
      <c r="I30" s="106">
        <v>3114</v>
      </c>
      <c r="J30" s="106">
        <v>2794</v>
      </c>
      <c r="K30" s="106">
        <v>2437</v>
      </c>
      <c r="L30" s="106">
        <v>2291</v>
      </c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</row>
    <row r="31" spans="2:27" x14ac:dyDescent="0.2">
      <c r="B31" s="105" t="s">
        <v>304</v>
      </c>
      <c r="C31" s="106">
        <v>1521</v>
      </c>
      <c r="D31" s="106">
        <v>1363</v>
      </c>
      <c r="E31" s="106">
        <v>1236</v>
      </c>
      <c r="F31" s="106">
        <v>1192</v>
      </c>
      <c r="G31" s="106">
        <v>1139</v>
      </c>
      <c r="H31" s="106">
        <v>1154</v>
      </c>
      <c r="I31" s="106">
        <v>1104</v>
      </c>
      <c r="J31" s="106">
        <v>1099</v>
      </c>
      <c r="K31" s="106">
        <v>1043</v>
      </c>
      <c r="L31" s="106">
        <v>979</v>
      </c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</row>
    <row r="32" spans="2:27" x14ac:dyDescent="0.2">
      <c r="B32" s="105" t="s">
        <v>305</v>
      </c>
      <c r="C32" s="106">
        <v>81</v>
      </c>
      <c r="D32" s="106">
        <v>63</v>
      </c>
      <c r="E32" s="106">
        <v>63</v>
      </c>
      <c r="F32" s="106">
        <v>57</v>
      </c>
      <c r="G32" s="106">
        <v>57</v>
      </c>
      <c r="H32" s="106">
        <v>53</v>
      </c>
      <c r="I32" s="106">
        <v>39</v>
      </c>
      <c r="J32" s="106">
        <v>41</v>
      </c>
      <c r="K32" s="106">
        <v>49</v>
      </c>
      <c r="L32" s="106">
        <v>51</v>
      </c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</row>
    <row r="33" spans="2:12" x14ac:dyDescent="0.2">
      <c r="B33" s="105" t="s">
        <v>306</v>
      </c>
      <c r="C33" s="106">
        <v>1386</v>
      </c>
      <c r="D33" s="106">
        <v>1331</v>
      </c>
      <c r="E33" s="106">
        <v>1357</v>
      </c>
      <c r="F33" s="106">
        <v>1316</v>
      </c>
      <c r="G33" s="106">
        <v>1304</v>
      </c>
      <c r="H33" s="106">
        <v>1321</v>
      </c>
      <c r="I33" s="106">
        <v>1331</v>
      </c>
      <c r="J33" s="106">
        <v>1314</v>
      </c>
      <c r="K33" s="106">
        <v>1236</v>
      </c>
      <c r="L33" s="106">
        <v>1260</v>
      </c>
    </row>
    <row r="34" spans="2:12" x14ac:dyDescent="0.2">
      <c r="B34" s="105" t="s">
        <v>307</v>
      </c>
      <c r="C34" s="106">
        <v>105</v>
      </c>
      <c r="D34" s="106">
        <v>88</v>
      </c>
      <c r="E34" s="106">
        <v>90</v>
      </c>
      <c r="F34" s="106">
        <v>76</v>
      </c>
      <c r="G34" s="106">
        <v>81</v>
      </c>
      <c r="H34" s="106">
        <v>83</v>
      </c>
      <c r="I34" s="106">
        <v>62</v>
      </c>
      <c r="J34" s="106">
        <v>81</v>
      </c>
      <c r="K34" s="106">
        <v>80</v>
      </c>
      <c r="L34" s="106">
        <v>74</v>
      </c>
    </row>
    <row r="35" spans="2:12" x14ac:dyDescent="0.2">
      <c r="B35" s="105" t="s">
        <v>308</v>
      </c>
      <c r="C35" s="106">
        <v>274</v>
      </c>
      <c r="D35" s="106">
        <v>271</v>
      </c>
      <c r="E35" s="106">
        <v>221</v>
      </c>
      <c r="F35" s="106">
        <v>215</v>
      </c>
      <c r="G35" s="106">
        <v>201</v>
      </c>
      <c r="H35" s="106">
        <v>191</v>
      </c>
      <c r="I35" s="106">
        <v>214</v>
      </c>
      <c r="J35" s="106">
        <v>264</v>
      </c>
      <c r="K35" s="106">
        <v>242</v>
      </c>
      <c r="L35" s="106">
        <v>226</v>
      </c>
    </row>
    <row r="36" spans="2:12" x14ac:dyDescent="0.2">
      <c r="B36" s="105" t="s">
        <v>309</v>
      </c>
      <c r="C36" s="106">
        <v>240</v>
      </c>
      <c r="D36" s="106">
        <v>228</v>
      </c>
      <c r="E36" s="106">
        <v>208</v>
      </c>
      <c r="F36" s="106">
        <v>207</v>
      </c>
      <c r="G36" s="106">
        <v>183</v>
      </c>
      <c r="H36" s="106">
        <v>188</v>
      </c>
      <c r="I36" s="106">
        <v>176</v>
      </c>
      <c r="J36" s="106">
        <v>184</v>
      </c>
      <c r="K36" s="106">
        <v>195</v>
      </c>
      <c r="L36" s="106">
        <v>184</v>
      </c>
    </row>
    <row r="37" spans="2:12" x14ac:dyDescent="0.2">
      <c r="B37" s="105" t="s">
        <v>19</v>
      </c>
      <c r="C37" s="106">
        <v>2091</v>
      </c>
      <c r="D37" s="106">
        <v>1971</v>
      </c>
      <c r="E37" s="106">
        <v>1903</v>
      </c>
      <c r="F37" s="106">
        <v>1730</v>
      </c>
      <c r="G37" s="106">
        <v>1650</v>
      </c>
      <c r="H37" s="106">
        <v>1689</v>
      </c>
      <c r="I37" s="106">
        <v>1529</v>
      </c>
      <c r="J37" s="106">
        <v>1522</v>
      </c>
      <c r="K37" s="106">
        <v>1402</v>
      </c>
      <c r="L37" s="106">
        <v>1386</v>
      </c>
    </row>
    <row r="38" spans="2:12" x14ac:dyDescent="0.2">
      <c r="B38" s="105" t="s">
        <v>310</v>
      </c>
      <c r="C38" s="106">
        <v>763</v>
      </c>
      <c r="D38" s="106">
        <v>727</v>
      </c>
      <c r="E38" s="106">
        <v>713</v>
      </c>
      <c r="F38" s="106">
        <v>639</v>
      </c>
      <c r="G38" s="106">
        <v>601</v>
      </c>
      <c r="H38" s="106">
        <v>582</v>
      </c>
      <c r="I38" s="106">
        <v>579</v>
      </c>
      <c r="J38" s="106">
        <v>575</v>
      </c>
      <c r="K38" s="106">
        <v>563</v>
      </c>
      <c r="L38" s="106">
        <v>535</v>
      </c>
    </row>
    <row r="39" spans="2:12" x14ac:dyDescent="0.2">
      <c r="B39" s="105" t="s">
        <v>311</v>
      </c>
      <c r="C39" s="106">
        <v>141</v>
      </c>
      <c r="D39" s="106">
        <v>150</v>
      </c>
      <c r="E39" s="106">
        <v>149</v>
      </c>
      <c r="F39" s="106">
        <v>135</v>
      </c>
      <c r="G39" s="106">
        <v>123</v>
      </c>
      <c r="H39" s="106">
        <v>124</v>
      </c>
      <c r="I39" s="106">
        <v>118</v>
      </c>
      <c r="J39" s="106">
        <v>119</v>
      </c>
      <c r="K39" s="106">
        <v>115</v>
      </c>
      <c r="L39" s="106">
        <v>111</v>
      </c>
    </row>
    <row r="40" spans="2:12" x14ac:dyDescent="0.2">
      <c r="B40" s="105" t="s">
        <v>312</v>
      </c>
      <c r="C40" s="106">
        <v>931</v>
      </c>
      <c r="D40" s="106">
        <v>942</v>
      </c>
      <c r="E40" s="106">
        <v>943</v>
      </c>
      <c r="F40" s="106">
        <v>934</v>
      </c>
      <c r="G40" s="106">
        <v>987</v>
      </c>
      <c r="H40" s="106">
        <v>1009</v>
      </c>
      <c r="I40" s="106">
        <v>951</v>
      </c>
      <c r="J40" s="106">
        <v>909</v>
      </c>
      <c r="K40" s="106">
        <v>836</v>
      </c>
      <c r="L40" s="106">
        <v>765</v>
      </c>
    </row>
    <row r="41" spans="2:12" x14ac:dyDescent="0.2">
      <c r="B41" s="105" t="s">
        <v>313</v>
      </c>
      <c r="C41" s="106">
        <v>5148</v>
      </c>
      <c r="D41" s="106">
        <v>5247</v>
      </c>
      <c r="E41" s="106">
        <v>5031</v>
      </c>
      <c r="F41" s="106">
        <v>4968</v>
      </c>
      <c r="G41" s="106">
        <v>4789</v>
      </c>
      <c r="H41" s="106">
        <v>4731</v>
      </c>
      <c r="I41" s="106">
        <v>4666</v>
      </c>
      <c r="J41" s="106">
        <v>4505</v>
      </c>
      <c r="K41" s="106">
        <v>4365</v>
      </c>
      <c r="L41" s="106">
        <v>4366</v>
      </c>
    </row>
    <row r="42" spans="2:12" x14ac:dyDescent="0.2">
      <c r="B42" s="105" t="s">
        <v>314</v>
      </c>
      <c r="C42" s="106">
        <v>892</v>
      </c>
      <c r="D42" s="106">
        <v>832</v>
      </c>
      <c r="E42" s="106">
        <v>832</v>
      </c>
      <c r="F42" s="106">
        <v>846</v>
      </c>
      <c r="G42" s="106">
        <v>811</v>
      </c>
      <c r="H42" s="106">
        <v>788</v>
      </c>
      <c r="I42" s="106">
        <v>799</v>
      </c>
      <c r="J42" s="106">
        <v>763</v>
      </c>
      <c r="K42" s="106">
        <v>699</v>
      </c>
      <c r="L42" s="106">
        <v>668</v>
      </c>
    </row>
    <row r="43" spans="2:12" x14ac:dyDescent="0.2">
      <c r="B43" s="105" t="s">
        <v>315</v>
      </c>
      <c r="C43" s="106">
        <v>895</v>
      </c>
      <c r="D43" s="106">
        <v>866</v>
      </c>
      <c r="E43" s="106">
        <v>834</v>
      </c>
      <c r="F43" s="106">
        <v>834</v>
      </c>
      <c r="G43" s="106">
        <v>804</v>
      </c>
      <c r="H43" s="106">
        <v>784</v>
      </c>
      <c r="I43" s="106">
        <v>739</v>
      </c>
      <c r="J43" s="106">
        <v>740</v>
      </c>
      <c r="K43" s="106">
        <v>752</v>
      </c>
      <c r="L43" s="106">
        <v>729</v>
      </c>
    </row>
    <row r="44" spans="2:12" x14ac:dyDescent="0.2">
      <c r="B44" s="105" t="s">
        <v>316</v>
      </c>
      <c r="C44" s="106">
        <v>2946</v>
      </c>
      <c r="D44" s="106">
        <v>2890</v>
      </c>
      <c r="E44" s="106">
        <v>2689</v>
      </c>
      <c r="F44" s="106">
        <v>2685</v>
      </c>
      <c r="G44" s="106">
        <v>2664</v>
      </c>
      <c r="H44" s="106">
        <v>2613</v>
      </c>
      <c r="I44" s="106">
        <v>2500</v>
      </c>
      <c r="J44" s="106">
        <v>2591</v>
      </c>
      <c r="K44" s="106">
        <v>2519</v>
      </c>
      <c r="L44" s="106">
        <v>2553</v>
      </c>
    </row>
    <row r="45" spans="2:12" x14ac:dyDescent="0.2">
      <c r="B45" s="105" t="s">
        <v>317</v>
      </c>
      <c r="C45" s="106">
        <v>1550</v>
      </c>
      <c r="D45" s="106">
        <v>1546</v>
      </c>
      <c r="E45" s="106">
        <v>1484</v>
      </c>
      <c r="F45" s="106">
        <v>1472</v>
      </c>
      <c r="G45" s="106">
        <v>1437</v>
      </c>
      <c r="H45" s="106">
        <v>1463</v>
      </c>
      <c r="I45" s="106">
        <v>1425</v>
      </c>
      <c r="J45" s="106">
        <v>1341</v>
      </c>
      <c r="K45" s="106">
        <v>1284</v>
      </c>
      <c r="L45" s="106">
        <v>1264</v>
      </c>
    </row>
    <row r="46" spans="2:12" x14ac:dyDescent="0.2">
      <c r="B46" s="105" t="s">
        <v>318</v>
      </c>
      <c r="C46" s="106">
        <v>1352</v>
      </c>
      <c r="D46" s="106">
        <v>1240</v>
      </c>
      <c r="E46" s="106">
        <v>1134</v>
      </c>
      <c r="F46" s="106">
        <v>1077</v>
      </c>
      <c r="G46" s="106">
        <v>1013</v>
      </c>
      <c r="H46" s="106">
        <v>1018</v>
      </c>
      <c r="I46" s="106">
        <v>1022</v>
      </c>
      <c r="J46" s="106">
        <v>982</v>
      </c>
      <c r="K46" s="106">
        <v>972</v>
      </c>
      <c r="L46" s="106">
        <v>908</v>
      </c>
    </row>
    <row r="47" spans="2:12" x14ac:dyDescent="0.2">
      <c r="B47" s="105" t="s">
        <v>319</v>
      </c>
      <c r="C47" s="106">
        <v>338</v>
      </c>
      <c r="D47" s="106">
        <v>319</v>
      </c>
      <c r="E47" s="106">
        <v>300</v>
      </c>
      <c r="F47" s="106">
        <v>272</v>
      </c>
      <c r="G47" s="106">
        <v>279</v>
      </c>
      <c r="H47" s="106">
        <v>280</v>
      </c>
      <c r="I47" s="106">
        <v>292</v>
      </c>
      <c r="J47" s="106">
        <v>307</v>
      </c>
      <c r="K47" s="106">
        <v>285</v>
      </c>
      <c r="L47" s="106">
        <v>269</v>
      </c>
    </row>
    <row r="48" spans="2:12" x14ac:dyDescent="0.2">
      <c r="B48" s="105" t="s">
        <v>320</v>
      </c>
      <c r="C48" s="106">
        <v>1336</v>
      </c>
      <c r="D48" s="106">
        <v>1243</v>
      </c>
      <c r="E48" s="106">
        <v>1230</v>
      </c>
      <c r="F48" s="106">
        <v>1153</v>
      </c>
      <c r="G48" s="106">
        <v>1099</v>
      </c>
      <c r="H48" s="106">
        <v>1067</v>
      </c>
      <c r="I48" s="106">
        <v>1029</v>
      </c>
      <c r="J48" s="106">
        <v>961</v>
      </c>
      <c r="K48" s="106">
        <v>900</v>
      </c>
      <c r="L48" s="106">
        <v>907</v>
      </c>
    </row>
    <row r="49" spans="2:12" x14ac:dyDescent="0.2">
      <c r="B49" s="105" t="s">
        <v>321</v>
      </c>
      <c r="C49" s="106">
        <v>300</v>
      </c>
      <c r="D49" s="106">
        <v>306</v>
      </c>
      <c r="E49" s="106">
        <v>299</v>
      </c>
      <c r="F49" s="106">
        <v>277</v>
      </c>
      <c r="G49" s="106">
        <v>291</v>
      </c>
      <c r="H49" s="106">
        <v>264</v>
      </c>
      <c r="I49" s="106">
        <v>270</v>
      </c>
      <c r="J49" s="106">
        <v>245</v>
      </c>
      <c r="K49" s="106">
        <v>219</v>
      </c>
      <c r="L49" s="106">
        <v>223</v>
      </c>
    </row>
    <row r="50" spans="2:12" x14ac:dyDescent="0.2">
      <c r="B50" s="105" t="s">
        <v>322</v>
      </c>
      <c r="C50" s="106">
        <v>2623</v>
      </c>
      <c r="D50" s="106">
        <v>2580</v>
      </c>
      <c r="E50" s="106">
        <v>2583</v>
      </c>
      <c r="F50" s="106">
        <v>2544</v>
      </c>
      <c r="G50" s="106">
        <v>2533</v>
      </c>
      <c r="H50" s="106">
        <v>2467</v>
      </c>
      <c r="I50" s="106">
        <v>2433</v>
      </c>
      <c r="J50" s="106">
        <v>2429</v>
      </c>
      <c r="K50" s="106">
        <v>2299</v>
      </c>
      <c r="L50" s="106">
        <v>2266</v>
      </c>
    </row>
    <row r="51" spans="2:12" x14ac:dyDescent="0.2">
      <c r="B51" s="105" t="s">
        <v>323</v>
      </c>
      <c r="C51" s="106">
        <v>5393</v>
      </c>
      <c r="D51" s="106">
        <v>5634</v>
      </c>
      <c r="E51" s="106">
        <v>5538</v>
      </c>
      <c r="F51" s="106">
        <v>5445</v>
      </c>
      <c r="G51" s="106">
        <v>5406</v>
      </c>
      <c r="H51" s="106">
        <v>5330</v>
      </c>
      <c r="I51" s="106">
        <v>5240</v>
      </c>
      <c r="J51" s="106">
        <v>5063</v>
      </c>
      <c r="K51" s="106">
        <v>4990</v>
      </c>
      <c r="L51" s="106">
        <v>4959</v>
      </c>
    </row>
    <row r="52" spans="2:12" x14ac:dyDescent="0.2">
      <c r="B52" s="105" t="s">
        <v>324</v>
      </c>
      <c r="C52" s="106">
        <v>343</v>
      </c>
      <c r="D52" s="106">
        <v>290</v>
      </c>
      <c r="E52" s="106">
        <v>318</v>
      </c>
      <c r="F52" s="106">
        <v>310</v>
      </c>
      <c r="G52" s="106">
        <v>340</v>
      </c>
      <c r="H52" s="106">
        <v>296</v>
      </c>
      <c r="I52" s="106">
        <v>280</v>
      </c>
      <c r="J52" s="106">
        <v>285</v>
      </c>
      <c r="K52" s="106">
        <v>271</v>
      </c>
      <c r="L52" s="106">
        <v>235</v>
      </c>
    </row>
    <row r="53" spans="2:12" x14ac:dyDescent="0.2">
      <c r="B53" s="105" t="s">
        <v>325</v>
      </c>
      <c r="C53" s="106">
        <v>2738</v>
      </c>
      <c r="D53" s="106">
        <v>2602</v>
      </c>
      <c r="E53" s="106">
        <v>2609</v>
      </c>
      <c r="F53" s="106">
        <v>2575</v>
      </c>
      <c r="G53" s="106">
        <v>2514</v>
      </c>
      <c r="H53" s="106">
        <v>2479</v>
      </c>
      <c r="I53" s="106">
        <v>2425</v>
      </c>
      <c r="J53" s="106">
        <v>2301</v>
      </c>
      <c r="K53" s="106">
        <v>2258</v>
      </c>
      <c r="L53" s="106">
        <v>2160</v>
      </c>
    </row>
    <row r="54" spans="2:12" x14ac:dyDescent="0.2">
      <c r="B54" s="105" t="s">
        <v>326</v>
      </c>
      <c r="C54" s="106">
        <v>1123</v>
      </c>
      <c r="D54" s="106">
        <v>1064</v>
      </c>
      <c r="E54" s="106">
        <v>997</v>
      </c>
      <c r="F54" s="106">
        <v>945</v>
      </c>
      <c r="G54" s="106">
        <v>939</v>
      </c>
      <c r="H54" s="106">
        <v>914</v>
      </c>
      <c r="I54" s="106">
        <v>898</v>
      </c>
      <c r="J54" s="106">
        <v>869</v>
      </c>
      <c r="K54" s="106">
        <v>836</v>
      </c>
      <c r="L54" s="106">
        <v>811</v>
      </c>
    </row>
    <row r="55" spans="2:12" x14ac:dyDescent="0.2">
      <c r="B55" s="105" t="s">
        <v>327</v>
      </c>
      <c r="C55" s="106">
        <v>343</v>
      </c>
      <c r="D55" s="106">
        <v>329</v>
      </c>
      <c r="E55" s="106">
        <v>326</v>
      </c>
      <c r="F55" s="106">
        <v>344</v>
      </c>
      <c r="G55" s="106">
        <v>319</v>
      </c>
      <c r="H55" s="106">
        <v>281</v>
      </c>
      <c r="I55" s="106">
        <v>259</v>
      </c>
      <c r="J55" s="106">
        <v>254</v>
      </c>
      <c r="K55" s="106">
        <v>245</v>
      </c>
      <c r="L55" s="106">
        <v>272</v>
      </c>
    </row>
    <row r="56" spans="2:12" x14ac:dyDescent="0.2">
      <c r="B56" s="105" t="s">
        <v>328</v>
      </c>
      <c r="C56" s="106">
        <v>4494</v>
      </c>
      <c r="D56" s="106">
        <v>4614</v>
      </c>
      <c r="E56" s="106">
        <v>4808</v>
      </c>
      <c r="F56" s="106">
        <v>5005</v>
      </c>
      <c r="G56" s="106">
        <v>5270</v>
      </c>
      <c r="H56" s="106">
        <v>5377</v>
      </c>
      <c r="I56" s="106">
        <v>5365</v>
      </c>
      <c r="J56" s="106">
        <v>5169</v>
      </c>
      <c r="K56" s="106">
        <v>4737</v>
      </c>
      <c r="L56" s="106">
        <v>4528</v>
      </c>
    </row>
    <row r="57" spans="2:12" x14ac:dyDescent="0.2">
      <c r="B57" s="105" t="s">
        <v>329</v>
      </c>
      <c r="C57" s="106">
        <v>657</v>
      </c>
      <c r="D57" s="106">
        <v>668</v>
      </c>
      <c r="E57" s="106">
        <v>611</v>
      </c>
      <c r="F57" s="106">
        <v>623</v>
      </c>
      <c r="G57" s="106">
        <v>633</v>
      </c>
      <c r="H57" s="106">
        <v>618</v>
      </c>
      <c r="I57" s="106">
        <v>595</v>
      </c>
      <c r="J57" s="106">
        <v>588</v>
      </c>
      <c r="K57" s="106">
        <v>586</v>
      </c>
      <c r="L57" s="106">
        <v>565</v>
      </c>
    </row>
    <row r="58" spans="2:12" x14ac:dyDescent="0.2">
      <c r="B58" s="105" t="s">
        <v>330</v>
      </c>
      <c r="C58" s="106">
        <v>193</v>
      </c>
      <c r="D58" s="106">
        <v>179</v>
      </c>
      <c r="E58" s="106">
        <v>152</v>
      </c>
      <c r="F58" s="106">
        <v>150</v>
      </c>
      <c r="G58" s="106">
        <v>140</v>
      </c>
      <c r="H58" s="106">
        <v>120</v>
      </c>
      <c r="I58" s="106">
        <v>111</v>
      </c>
      <c r="J58" s="106">
        <v>98</v>
      </c>
      <c r="K58" s="106">
        <v>96</v>
      </c>
      <c r="L58" s="106">
        <v>99</v>
      </c>
    </row>
    <row r="59" spans="2:12" x14ac:dyDescent="0.2">
      <c r="B59" s="105" t="s">
        <v>331</v>
      </c>
      <c r="C59" s="106">
        <v>1303</v>
      </c>
      <c r="D59" s="106">
        <v>1289</v>
      </c>
      <c r="E59" s="106">
        <v>1243</v>
      </c>
      <c r="F59" s="106">
        <v>1142</v>
      </c>
      <c r="G59" s="106">
        <v>1069</v>
      </c>
      <c r="H59" s="106">
        <v>1060</v>
      </c>
      <c r="I59" s="106">
        <v>1040</v>
      </c>
      <c r="J59" s="106">
        <v>1042</v>
      </c>
      <c r="K59" s="106">
        <v>1044</v>
      </c>
      <c r="L59" s="106">
        <v>1049</v>
      </c>
    </row>
    <row r="60" spans="2:12" x14ac:dyDescent="0.2">
      <c r="B60" s="105" t="s">
        <v>332</v>
      </c>
      <c r="C60" s="106">
        <v>287</v>
      </c>
      <c r="D60" s="106">
        <v>277</v>
      </c>
      <c r="E60" s="106">
        <v>247</v>
      </c>
      <c r="F60" s="106">
        <v>271</v>
      </c>
      <c r="G60" s="106">
        <v>269</v>
      </c>
      <c r="H60" s="106">
        <v>257</v>
      </c>
      <c r="I60" s="106">
        <v>278</v>
      </c>
      <c r="J60" s="106">
        <v>266</v>
      </c>
      <c r="K60" s="106">
        <v>247</v>
      </c>
      <c r="L60" s="106">
        <v>267</v>
      </c>
    </row>
    <row r="61" spans="2:12" x14ac:dyDescent="0.2">
      <c r="B61" s="105" t="s">
        <v>333</v>
      </c>
      <c r="C61" s="106">
        <v>495</v>
      </c>
      <c r="D61" s="106">
        <v>454</v>
      </c>
      <c r="E61" s="106">
        <v>410</v>
      </c>
      <c r="F61" s="106">
        <v>349</v>
      </c>
      <c r="G61" s="106">
        <v>326</v>
      </c>
      <c r="H61" s="106">
        <v>311</v>
      </c>
      <c r="I61" s="106">
        <v>329</v>
      </c>
      <c r="J61" s="106">
        <v>329</v>
      </c>
      <c r="K61" s="106">
        <v>326</v>
      </c>
      <c r="L61" s="106">
        <v>328</v>
      </c>
    </row>
    <row r="62" spans="2:12" x14ac:dyDescent="0.2">
      <c r="B62" s="105" t="s">
        <v>334</v>
      </c>
      <c r="C62" s="106">
        <v>40</v>
      </c>
      <c r="D62" s="106">
        <v>41</v>
      </c>
      <c r="E62" s="106">
        <v>38</v>
      </c>
      <c r="F62" s="106">
        <v>44</v>
      </c>
      <c r="G62" s="106">
        <v>34</v>
      </c>
      <c r="H62" s="106">
        <v>37</v>
      </c>
      <c r="I62" s="106">
        <v>31</v>
      </c>
      <c r="J62" s="106">
        <v>29</v>
      </c>
      <c r="K62" s="106">
        <v>36</v>
      </c>
      <c r="L62" s="106">
        <v>31</v>
      </c>
    </row>
    <row r="63" spans="2:12" x14ac:dyDescent="0.2">
      <c r="B63" s="105" t="s">
        <v>335</v>
      </c>
      <c r="C63" s="106">
        <v>304</v>
      </c>
      <c r="D63" s="106">
        <v>299</v>
      </c>
      <c r="E63" s="106">
        <v>268</v>
      </c>
      <c r="F63" s="106">
        <v>231</v>
      </c>
      <c r="G63" s="106">
        <v>219</v>
      </c>
      <c r="H63" s="106">
        <v>182</v>
      </c>
      <c r="I63" s="106">
        <v>189</v>
      </c>
      <c r="J63" s="106">
        <v>180</v>
      </c>
      <c r="K63" s="106">
        <v>199</v>
      </c>
      <c r="L63" s="106">
        <v>184</v>
      </c>
    </row>
    <row r="64" spans="2:12" x14ac:dyDescent="0.2">
      <c r="B64" s="105" t="s">
        <v>336</v>
      </c>
      <c r="C64" s="106">
        <v>789</v>
      </c>
      <c r="D64" s="106">
        <v>777</v>
      </c>
      <c r="E64" s="106">
        <v>715</v>
      </c>
      <c r="F64" s="106">
        <v>713</v>
      </c>
      <c r="G64" s="106">
        <v>660</v>
      </c>
      <c r="H64" s="106">
        <v>613</v>
      </c>
      <c r="I64" s="106">
        <v>550</v>
      </c>
      <c r="J64" s="106">
        <v>505</v>
      </c>
      <c r="K64" s="106">
        <v>457</v>
      </c>
      <c r="L64" s="106">
        <v>485</v>
      </c>
    </row>
    <row r="65" spans="2:12" x14ac:dyDescent="0.2">
      <c r="B65" s="105" t="s">
        <v>337</v>
      </c>
      <c r="C65" s="106">
        <v>344</v>
      </c>
      <c r="D65" s="106">
        <v>347</v>
      </c>
      <c r="E65" s="106">
        <v>315</v>
      </c>
      <c r="F65" s="106">
        <v>310</v>
      </c>
      <c r="G65" s="106">
        <v>313</v>
      </c>
      <c r="H65" s="106">
        <v>302</v>
      </c>
      <c r="I65" s="106">
        <v>334</v>
      </c>
      <c r="J65" s="106">
        <v>328</v>
      </c>
      <c r="K65" s="106">
        <v>306</v>
      </c>
      <c r="L65" s="106">
        <v>318</v>
      </c>
    </row>
    <row r="66" spans="2:12" x14ac:dyDescent="0.2">
      <c r="B66" s="105" t="s">
        <v>338</v>
      </c>
      <c r="C66" s="106">
        <v>1093</v>
      </c>
      <c r="D66" s="106">
        <v>1056</v>
      </c>
      <c r="E66" s="106">
        <v>1014</v>
      </c>
      <c r="F66" s="106">
        <v>958</v>
      </c>
      <c r="G66" s="106">
        <v>841</v>
      </c>
      <c r="H66" s="106">
        <v>758</v>
      </c>
      <c r="I66" s="106">
        <v>726</v>
      </c>
      <c r="J66" s="106">
        <v>756</v>
      </c>
      <c r="K66" s="106">
        <v>750</v>
      </c>
      <c r="L66" s="106">
        <v>703</v>
      </c>
    </row>
    <row r="67" spans="2:12" x14ac:dyDescent="0.2">
      <c r="B67" s="105" t="s">
        <v>339</v>
      </c>
      <c r="C67" s="106">
        <v>452</v>
      </c>
      <c r="D67" s="106">
        <v>436</v>
      </c>
      <c r="E67" s="106">
        <v>396</v>
      </c>
      <c r="F67" s="106">
        <v>350</v>
      </c>
      <c r="G67" s="106">
        <v>327</v>
      </c>
      <c r="H67" s="106">
        <v>310</v>
      </c>
      <c r="I67" s="106">
        <v>295</v>
      </c>
      <c r="J67" s="106">
        <v>301</v>
      </c>
      <c r="K67" s="106">
        <v>281</v>
      </c>
      <c r="L67" s="106">
        <v>287</v>
      </c>
    </row>
    <row r="68" spans="2:12" x14ac:dyDescent="0.2">
      <c r="B68" s="105" t="s">
        <v>340</v>
      </c>
      <c r="C68" s="106">
        <v>2112</v>
      </c>
      <c r="D68" s="106">
        <v>2205</v>
      </c>
      <c r="E68" s="106">
        <v>2003</v>
      </c>
      <c r="F68" s="106">
        <v>1949</v>
      </c>
      <c r="G68" s="106">
        <v>1921</v>
      </c>
      <c r="H68" s="106">
        <v>1914</v>
      </c>
      <c r="I68" s="106">
        <v>1897</v>
      </c>
      <c r="J68" s="106">
        <v>1983</v>
      </c>
      <c r="K68" s="106">
        <v>1871</v>
      </c>
      <c r="L68" s="106">
        <v>1772</v>
      </c>
    </row>
    <row r="69" spans="2:12" x14ac:dyDescent="0.2">
      <c r="B69" s="105" t="s">
        <v>341</v>
      </c>
      <c r="C69" s="106">
        <v>356</v>
      </c>
      <c r="D69" s="106">
        <v>360</v>
      </c>
      <c r="E69" s="106">
        <v>376</v>
      </c>
      <c r="F69" s="106">
        <v>366</v>
      </c>
      <c r="G69" s="106">
        <v>356</v>
      </c>
      <c r="H69" s="106">
        <v>349</v>
      </c>
      <c r="I69" s="106">
        <v>321</v>
      </c>
      <c r="J69" s="106">
        <v>320</v>
      </c>
      <c r="K69" s="106">
        <v>312</v>
      </c>
      <c r="L69" s="106">
        <v>279</v>
      </c>
    </row>
    <row r="70" spans="2:12" x14ac:dyDescent="0.2">
      <c r="B70" s="105" t="s">
        <v>342</v>
      </c>
      <c r="C70" s="106">
        <v>3017</v>
      </c>
      <c r="D70" s="106">
        <v>3091</v>
      </c>
      <c r="E70" s="106">
        <v>2916</v>
      </c>
      <c r="F70" s="106">
        <v>2667</v>
      </c>
      <c r="G70" s="106">
        <v>2612</v>
      </c>
      <c r="H70" s="106">
        <v>2429</v>
      </c>
      <c r="I70" s="106">
        <v>2340</v>
      </c>
      <c r="J70" s="106">
        <v>2331</v>
      </c>
      <c r="K70" s="106">
        <v>2220</v>
      </c>
      <c r="L70" s="106">
        <v>2195</v>
      </c>
    </row>
    <row r="71" spans="2:12" x14ac:dyDescent="0.2">
      <c r="B71" s="105" t="s">
        <v>343</v>
      </c>
      <c r="C71" s="106">
        <v>153</v>
      </c>
      <c r="D71" s="106">
        <v>155</v>
      </c>
      <c r="E71" s="106">
        <v>155</v>
      </c>
      <c r="F71" s="106">
        <v>148</v>
      </c>
      <c r="G71" s="106">
        <v>162</v>
      </c>
      <c r="H71" s="106">
        <v>134</v>
      </c>
      <c r="I71" s="106">
        <v>117</v>
      </c>
      <c r="J71" s="106">
        <v>120</v>
      </c>
      <c r="K71" s="106">
        <v>110</v>
      </c>
      <c r="L71" s="106">
        <v>117</v>
      </c>
    </row>
    <row r="72" spans="2:12" x14ac:dyDescent="0.2">
      <c r="B72" s="107" t="s">
        <v>344</v>
      </c>
      <c r="C72" s="108">
        <v>3102</v>
      </c>
      <c r="D72" s="108">
        <v>3245</v>
      </c>
      <c r="E72" s="108">
        <v>3147</v>
      </c>
      <c r="F72" s="108">
        <v>3137</v>
      </c>
      <c r="G72" s="108">
        <v>3105</v>
      </c>
      <c r="H72" s="108">
        <v>2999</v>
      </c>
      <c r="I72" s="108">
        <v>2895</v>
      </c>
      <c r="J72" s="108">
        <v>2778</v>
      </c>
      <c r="K72" s="108">
        <v>2754</v>
      </c>
      <c r="L72" s="108">
        <v>2641</v>
      </c>
    </row>
    <row r="73" spans="2:12" x14ac:dyDescent="0.2">
      <c r="B73" s="20" t="s">
        <v>345</v>
      </c>
      <c r="C73" s="21">
        <f>SUBTOTAL(109,'Enrollment By County Trend'!$C$6:$C$72)</f>
        <v>105747</v>
      </c>
      <c r="D73" s="21">
        <f>SUBTOTAL(109,'Enrollment By County Trend'!$D$6:$D$72)</f>
        <v>104196</v>
      </c>
      <c r="E73" s="21">
        <f>SUBTOTAL(109,'Enrollment By County Trend'!$E$6:$E$72)</f>
        <v>100595</v>
      </c>
      <c r="F73" s="21">
        <f>SUBTOTAL(109,'Enrollment By County Trend'!$F$6:$F$72)</f>
        <v>98167</v>
      </c>
      <c r="G73" s="21">
        <f>SUBTOTAL(109,'Enrollment By County Trend'!$G$6:$G$72)</f>
        <v>96262</v>
      </c>
      <c r="H73" s="21">
        <f>SUBTOTAL(109,'Enrollment By County Trend'!$H$6:$H$72)</f>
        <v>94079</v>
      </c>
      <c r="I73" s="21">
        <f>SUBTOTAL(109,'Enrollment By County Trend'!$I$6:$I$72)</f>
        <v>92124</v>
      </c>
      <c r="J73" s="21">
        <f>SUBTOTAL(109,'Enrollment By County Trend'!$J$6:$J$72)</f>
        <v>90018</v>
      </c>
      <c r="K73" s="21">
        <f>SUBTOTAL(109,'Enrollment By County Trend'!$K$6:$K$72)</f>
        <v>86716</v>
      </c>
      <c r="L73" s="21">
        <f>SUBTOTAL(109,'Enrollment By County Trend'!$L$6:$L$72)</f>
        <v>84720</v>
      </c>
    </row>
    <row r="74" spans="2:12" x14ac:dyDescent="0.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</row>
    <row r="75" spans="2:12" ht="15" hidden="1" customHeight="1" x14ac:dyDescent="0.2">
      <c r="B75" s="109" t="s">
        <v>279</v>
      </c>
      <c r="C75" s="109" t="s">
        <v>3</v>
      </c>
      <c r="D75" s="109" t="s">
        <v>4</v>
      </c>
      <c r="E75" s="109" t="s">
        <v>5</v>
      </c>
      <c r="F75" s="109" t="s">
        <v>6</v>
      </c>
      <c r="G75" s="109" t="s">
        <v>7</v>
      </c>
      <c r="H75" s="109" t="s">
        <v>8</v>
      </c>
      <c r="I75" s="109" t="s">
        <v>9</v>
      </c>
      <c r="J75" s="109" t="s">
        <v>10</v>
      </c>
      <c r="K75" s="109" t="s">
        <v>11</v>
      </c>
      <c r="L75" s="109" t="s">
        <v>12</v>
      </c>
    </row>
    <row r="76" spans="2:12" x14ac:dyDescent="0.2">
      <c r="B76" s="34" t="s">
        <v>346</v>
      </c>
      <c r="C76" s="34">
        <v>13766</v>
      </c>
      <c r="D76" s="34">
        <v>14028</v>
      </c>
      <c r="E76" s="34">
        <v>14093</v>
      </c>
      <c r="F76" s="34">
        <v>14058</v>
      </c>
      <c r="G76" s="34">
        <v>13546</v>
      </c>
      <c r="H76" s="34">
        <v>13320</v>
      </c>
      <c r="I76" s="34">
        <v>12925</v>
      </c>
      <c r="J76" s="34">
        <v>12554</v>
      </c>
      <c r="K76" s="77">
        <v>11647</v>
      </c>
      <c r="L76" s="110">
        <v>11082</v>
      </c>
    </row>
    <row r="77" spans="2:12" x14ac:dyDescent="0.2">
      <c r="B77" s="20" t="s">
        <v>347</v>
      </c>
      <c r="C77" s="21">
        <f>'Enrollment By County Trend'!$C$73+'Enrollment By County Trend'!$C$76:$C$76</f>
        <v>119513</v>
      </c>
      <c r="D77" s="21">
        <f>'Enrollment By County Trend'!$D$73+'Enrollment By County Trend'!$D$76:$D$76</f>
        <v>118224</v>
      </c>
      <c r="E77" s="21">
        <f>'Enrollment By County Trend'!$E$73+'Enrollment By County Trend'!$E$76:$E$76</f>
        <v>114688</v>
      </c>
      <c r="F77" s="21">
        <f>'Enrollment By County Trend'!$F$73+'Enrollment By County Trend'!$F$76:$F$76</f>
        <v>112225</v>
      </c>
      <c r="G77" s="21">
        <f>'Enrollment By County Trend'!$G$73+'Enrollment By County Trend'!$G$76:$G$76</f>
        <v>109808</v>
      </c>
      <c r="H77" s="21">
        <f>'Enrollment By County Trend'!$H$73+'Enrollment By County Trend'!$H$76:$H$76</f>
        <v>107399</v>
      </c>
      <c r="I77" s="21">
        <f>'Enrollment By County Trend'!$I$73+'Enrollment By County Trend'!$I$76:$I$76</f>
        <v>105049</v>
      </c>
      <c r="J77" s="21">
        <f>'Enrollment By County Trend'!$J$73+'Enrollment By County Trend'!$J$76:$J$76</f>
        <v>102572</v>
      </c>
      <c r="K77" s="21">
        <f>'Enrollment By County Trend'!$K$73+'Enrollment By County Trend'!$K$76:$K$76</f>
        <v>98363</v>
      </c>
      <c r="L77" s="21">
        <f>'Enrollment By County Trend'!$L$73+'Enrollment By County Trend'!$L$76:$L$76</f>
        <v>95802</v>
      </c>
    </row>
  </sheetData>
  <mergeCells count="3">
    <mergeCell ref="B1:L1"/>
    <mergeCell ref="B2:L2"/>
    <mergeCell ref="B3:L3"/>
  </mergeCells>
  <dataValidations disablePrompts="1" count="1">
    <dataValidation type="list" allowBlank="1" showInputMessage="1" showErrorMessage="1" sqref="B3 M3">
      <formula1>$AA$8:$AA$22</formula1>
    </dataValidation>
  </dataValidations>
  <printOptions horizontalCentered="1"/>
  <pageMargins left="0.5" right="0.5" top="1" bottom="0.5" header="0.3" footer="0.3"/>
  <pageSetup scale="57" fitToHeight="0" orientation="portrait" r:id="rId1"/>
  <headerFooter>
    <oddHeader>&amp;L&amp;"Arial,Regular"&amp;10Pennsylvania's State System of Higher Education | &amp;D
Office of Educational Intelligence | Page &amp;P of &amp;N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B1:AA59"/>
  <sheetViews>
    <sheetView zoomScaleNormal="100" workbookViewId="0">
      <selection activeCell="B1" sqref="B1:L1"/>
    </sheetView>
  </sheetViews>
  <sheetFormatPr defaultRowHeight="14.25" x14ac:dyDescent="0.2"/>
  <cols>
    <col min="1" max="1" width="9.140625" style="5"/>
    <col min="2" max="2" width="23.5703125" style="5" customWidth="1"/>
    <col min="3" max="12" width="14.28515625" style="5" customWidth="1"/>
    <col min="13" max="26" width="9.140625" style="5"/>
    <col min="27" max="27" width="15.85546875" style="5" bestFit="1" customWidth="1"/>
    <col min="28" max="16384" width="9.140625" style="5"/>
  </cols>
  <sheetData>
    <row r="1" spans="2:27" ht="15" x14ac:dyDescent="0.2">
      <c r="B1" s="126" t="s">
        <v>0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97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</row>
    <row r="2" spans="2:27" ht="15" x14ac:dyDescent="0.2">
      <c r="B2" s="127" t="str">
        <f>CONCATENATE("Total Students by State ", IF(RIGHT(Parameters!B1,1) = "1","Fall ", "Spring "),IF(RIGHT(Parameters!B1,1)  = "1",LEFT(Parameters!B1,4) -9, LEFT(Parameters!B1,4)-8 ),"-",IF(RIGHT(Parameters!B1,1)  = "1",LEFT(Parameters!B1,4), LEFT(Parameters!B1,4)+1 ))</f>
        <v>Total Students by State Fall 2010-2019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98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</row>
    <row r="3" spans="2:27" ht="15" x14ac:dyDescent="0.2">
      <c r="B3" s="127" t="s">
        <v>277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99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</row>
    <row r="4" spans="2:27" ht="30.95" customHeight="1" x14ac:dyDescent="0.2">
      <c r="B4" s="52" t="s">
        <v>348</v>
      </c>
      <c r="C4" s="52" t="str">
        <f>CONCATENATE(IF(RIGHT(Parameters!B1,1) = "1","Fall ", "Spring "),IF(RIGHT(Parameters!B1,1) = "1",LEFT(Parameters!B1,4) -9, LEFT(Parameters!B1,4) - 8))</f>
        <v>Fall 2010</v>
      </c>
      <c r="D4" s="52" t="str">
        <f>CONCATENATE(IF(RIGHT(Parameters!B1,1) = "1","Fall ", "Spring "),IF(RIGHT(Parameters!B1,1) = "1",LEFT(Parameters!B1,4) -8, LEFT(Parameters!B1,4) - 7))</f>
        <v>Fall 2011</v>
      </c>
      <c r="E4" s="52" t="str">
        <f>CONCATENATE(IF(RIGHT(Parameters!B1,1) = "1","Fall ", "Spring "),IF(RIGHT(Parameters!B1,1) = "1",LEFT(Parameters!B1,4) -7, LEFT(Parameters!B1,4) - 6))</f>
        <v>Fall 2012</v>
      </c>
      <c r="F4" s="52" t="str">
        <f>CONCATENATE(IF(RIGHT(Parameters!B1,1) = "1","Fall ", "Spring "),IF(RIGHT(Parameters!B1,1) = "1",LEFT(Parameters!B1,4) -6, LEFT(Parameters!B1,4) - 5))</f>
        <v>Fall 2013</v>
      </c>
      <c r="G4" s="52" t="str">
        <f>CONCATENATE(IF(RIGHT(Parameters!B1,1) = "1","Fall ", "Spring "),IF(RIGHT(Parameters!B1,1) = "1",LEFT(Parameters!B1,4) -5, LEFT(Parameters!B1,4) - 4))</f>
        <v>Fall 2014</v>
      </c>
      <c r="H4" s="52" t="str">
        <f>CONCATENATE(IF(RIGHT(Parameters!B1,1) = "1","Fall ", "Spring "),IF(RIGHT(Parameters!B1,1) = "1",LEFT(Parameters!B1,4) -4, LEFT(Parameters!B1,4) - 3))</f>
        <v>Fall 2015</v>
      </c>
      <c r="I4" s="52" t="str">
        <f>CONCATENATE(IF(RIGHT(Parameters!B1,1) = "1","Fall ", "Spring "),IF(RIGHT(Parameters!B1,1) = "1",LEFT(Parameters!B1,4) -3, LEFT(Parameters!B1,4) -2 ))</f>
        <v>Fall 2016</v>
      </c>
      <c r="J4" s="52" t="str">
        <f>CONCATENATE(IF(RIGHT(Parameters!B1,1) = "1","Fall ", "Spring "),IF(RIGHT(Parameters!B1,1) = "1",LEFT(Parameters!B1,4) -2, LEFT(Parameters!B1,4) -1 ))</f>
        <v>Fall 2017</v>
      </c>
      <c r="K4" s="52" t="str">
        <f>CONCATENATE(IF(RIGHT(Parameters!B1,1) = "1","Fall ", "Spring "),IF(RIGHT(Parameters!B1,1) = "1",LEFT(Parameters!B1,4) -1, LEFT(Parameters!B1,4)  ))</f>
        <v>Fall 2018</v>
      </c>
      <c r="L4" s="52" t="str">
        <f>CONCATENATE(IF(RIGHT(Parameters!B1,1) = "1","Fall ", "Spring "),IF(RIGHT(Parameters!B1,1) = "1",LEFT(Parameters!B1,4), LEFT(Parameters!B1,4) + 1))</f>
        <v>Fall 2019</v>
      </c>
      <c r="M4" s="91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</row>
    <row r="5" spans="2:27" ht="15" hidden="1" customHeight="1" x14ac:dyDescent="0.2">
      <c r="B5" s="111" t="s">
        <v>349</v>
      </c>
      <c r="C5" s="112" t="s">
        <v>3</v>
      </c>
      <c r="D5" s="112" t="s">
        <v>4</v>
      </c>
      <c r="E5" s="112" t="s">
        <v>5</v>
      </c>
      <c r="F5" s="112" t="s">
        <v>6</v>
      </c>
      <c r="G5" s="112" t="s">
        <v>7</v>
      </c>
      <c r="H5" s="112" t="s">
        <v>8</v>
      </c>
      <c r="I5" s="112" t="s">
        <v>9</v>
      </c>
      <c r="J5" s="112" t="s">
        <v>10</v>
      </c>
      <c r="K5" s="112" t="s">
        <v>11</v>
      </c>
      <c r="L5" s="113" t="s">
        <v>12</v>
      </c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</row>
    <row r="6" spans="2:27" x14ac:dyDescent="0.2">
      <c r="B6" s="114" t="s">
        <v>350</v>
      </c>
      <c r="C6" s="77">
        <v>17</v>
      </c>
      <c r="D6" s="77">
        <v>15</v>
      </c>
      <c r="E6" s="77">
        <v>21</v>
      </c>
      <c r="F6" s="77">
        <v>23</v>
      </c>
      <c r="G6" s="77">
        <v>25</v>
      </c>
      <c r="H6" s="77">
        <v>15</v>
      </c>
      <c r="I6" s="77">
        <v>19</v>
      </c>
      <c r="J6" s="77">
        <v>27</v>
      </c>
      <c r="K6" s="77">
        <v>11</v>
      </c>
      <c r="L6" s="77">
        <v>17</v>
      </c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</row>
    <row r="7" spans="2:27" x14ac:dyDescent="0.2">
      <c r="B7" s="115" t="s">
        <v>351</v>
      </c>
      <c r="C7" s="116">
        <v>12</v>
      </c>
      <c r="D7" s="116">
        <v>13</v>
      </c>
      <c r="E7" s="116">
        <v>14</v>
      </c>
      <c r="F7" s="116">
        <v>18</v>
      </c>
      <c r="G7" s="116">
        <v>19</v>
      </c>
      <c r="H7" s="116">
        <v>11</v>
      </c>
      <c r="I7" s="116">
        <v>16</v>
      </c>
      <c r="J7" s="116">
        <v>11</v>
      </c>
      <c r="K7" s="116">
        <v>13</v>
      </c>
      <c r="L7" s="116">
        <v>13</v>
      </c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</row>
    <row r="8" spans="2:27" x14ac:dyDescent="0.2">
      <c r="B8" s="105" t="s">
        <v>352</v>
      </c>
      <c r="C8" s="106">
        <v>43</v>
      </c>
      <c r="D8" s="106">
        <v>47</v>
      </c>
      <c r="E8" s="106">
        <v>45</v>
      </c>
      <c r="F8" s="106">
        <v>50</v>
      </c>
      <c r="G8" s="106">
        <v>51</v>
      </c>
      <c r="H8" s="106">
        <v>46</v>
      </c>
      <c r="I8" s="106">
        <v>38</v>
      </c>
      <c r="J8" s="106">
        <v>41</v>
      </c>
      <c r="K8" s="106">
        <v>39</v>
      </c>
      <c r="L8" s="106">
        <v>39</v>
      </c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 t="s">
        <v>277</v>
      </c>
    </row>
    <row r="9" spans="2:27" x14ac:dyDescent="0.2">
      <c r="B9" s="105" t="s">
        <v>353</v>
      </c>
      <c r="C9" s="106">
        <v>10</v>
      </c>
      <c r="D9" s="106">
        <v>16</v>
      </c>
      <c r="E9" s="106">
        <v>20</v>
      </c>
      <c r="F9" s="106">
        <v>16</v>
      </c>
      <c r="G9" s="106">
        <v>20</v>
      </c>
      <c r="H9" s="106">
        <v>15</v>
      </c>
      <c r="I9" s="106">
        <v>8</v>
      </c>
      <c r="J9" s="106">
        <v>9</v>
      </c>
      <c r="K9" s="106">
        <v>7</v>
      </c>
      <c r="L9" s="106">
        <v>8</v>
      </c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 t="s">
        <v>13</v>
      </c>
    </row>
    <row r="10" spans="2:27" x14ac:dyDescent="0.2">
      <c r="B10" s="105" t="s">
        <v>14</v>
      </c>
      <c r="C10" s="106">
        <v>206</v>
      </c>
      <c r="D10" s="106">
        <v>238</v>
      </c>
      <c r="E10" s="106">
        <v>246</v>
      </c>
      <c r="F10" s="106">
        <v>256</v>
      </c>
      <c r="G10" s="106">
        <v>227</v>
      </c>
      <c r="H10" s="106">
        <v>195</v>
      </c>
      <c r="I10" s="106">
        <v>228</v>
      </c>
      <c r="J10" s="106">
        <v>256</v>
      </c>
      <c r="K10" s="106">
        <v>226</v>
      </c>
      <c r="L10" s="106">
        <v>210</v>
      </c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 t="s">
        <v>14</v>
      </c>
    </row>
    <row r="11" spans="2:27" x14ac:dyDescent="0.2">
      <c r="B11" s="105" t="s">
        <v>354</v>
      </c>
      <c r="C11" s="106">
        <v>58</v>
      </c>
      <c r="D11" s="106">
        <v>70</v>
      </c>
      <c r="E11" s="106">
        <v>62</v>
      </c>
      <c r="F11" s="106">
        <v>61</v>
      </c>
      <c r="G11" s="106">
        <v>43</v>
      </c>
      <c r="H11" s="106">
        <v>45</v>
      </c>
      <c r="I11" s="106">
        <v>42</v>
      </c>
      <c r="J11" s="106">
        <v>46</v>
      </c>
      <c r="K11" s="106">
        <v>57</v>
      </c>
      <c r="L11" s="106">
        <v>61</v>
      </c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 t="s">
        <v>15</v>
      </c>
    </row>
    <row r="12" spans="2:27" x14ac:dyDescent="0.2">
      <c r="B12" s="105" t="s">
        <v>355</v>
      </c>
      <c r="C12" s="106">
        <v>132</v>
      </c>
      <c r="D12" s="106">
        <v>135</v>
      </c>
      <c r="E12" s="106">
        <v>135</v>
      </c>
      <c r="F12" s="106">
        <v>128</v>
      </c>
      <c r="G12" s="106">
        <v>126</v>
      </c>
      <c r="H12" s="106">
        <v>113</v>
      </c>
      <c r="I12" s="106">
        <v>121</v>
      </c>
      <c r="J12" s="106">
        <v>123</v>
      </c>
      <c r="K12" s="106">
        <v>118</v>
      </c>
      <c r="L12" s="106">
        <v>107</v>
      </c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 t="s">
        <v>16</v>
      </c>
    </row>
    <row r="13" spans="2:27" x14ac:dyDescent="0.2">
      <c r="B13" s="105" t="s">
        <v>301</v>
      </c>
      <c r="C13" s="106">
        <v>464</v>
      </c>
      <c r="D13" s="106">
        <v>450</v>
      </c>
      <c r="E13" s="106">
        <v>463</v>
      </c>
      <c r="F13" s="106">
        <v>458</v>
      </c>
      <c r="G13" s="106">
        <v>444</v>
      </c>
      <c r="H13" s="106">
        <v>442</v>
      </c>
      <c r="I13" s="106">
        <v>460</v>
      </c>
      <c r="J13" s="106">
        <v>450</v>
      </c>
      <c r="K13" s="106">
        <v>456</v>
      </c>
      <c r="L13" s="106">
        <v>471</v>
      </c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 t="s">
        <v>17</v>
      </c>
    </row>
    <row r="14" spans="2:27" x14ac:dyDescent="0.2">
      <c r="B14" s="105" t="s">
        <v>356</v>
      </c>
      <c r="C14" s="106">
        <v>92</v>
      </c>
      <c r="D14" s="106">
        <v>95</v>
      </c>
      <c r="E14" s="106">
        <v>94</v>
      </c>
      <c r="F14" s="106">
        <v>93</v>
      </c>
      <c r="G14" s="106">
        <v>78</v>
      </c>
      <c r="H14" s="106">
        <v>73</v>
      </c>
      <c r="I14" s="106">
        <v>74</v>
      </c>
      <c r="J14" s="106">
        <v>81</v>
      </c>
      <c r="K14" s="106">
        <v>51</v>
      </c>
      <c r="L14" s="106">
        <v>62</v>
      </c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 t="s">
        <v>18</v>
      </c>
    </row>
    <row r="15" spans="2:27" x14ac:dyDescent="0.2">
      <c r="B15" s="105" t="s">
        <v>357</v>
      </c>
      <c r="C15" s="106">
        <v>156</v>
      </c>
      <c r="D15" s="106">
        <v>160</v>
      </c>
      <c r="E15" s="106">
        <v>152</v>
      </c>
      <c r="F15" s="106">
        <v>158</v>
      </c>
      <c r="G15" s="106">
        <v>159</v>
      </c>
      <c r="H15" s="106">
        <v>173</v>
      </c>
      <c r="I15" s="106">
        <v>186</v>
      </c>
      <c r="J15" s="106">
        <v>190</v>
      </c>
      <c r="K15" s="106">
        <v>178</v>
      </c>
      <c r="L15" s="106">
        <v>198</v>
      </c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 t="s">
        <v>19</v>
      </c>
    </row>
    <row r="16" spans="2:27" x14ac:dyDescent="0.2">
      <c r="B16" s="105" t="s">
        <v>358</v>
      </c>
      <c r="C16" s="106">
        <v>59</v>
      </c>
      <c r="D16" s="106">
        <v>66</v>
      </c>
      <c r="E16" s="106">
        <v>85</v>
      </c>
      <c r="F16" s="106">
        <v>72</v>
      </c>
      <c r="G16" s="106">
        <v>71</v>
      </c>
      <c r="H16" s="106">
        <v>83</v>
      </c>
      <c r="I16" s="106">
        <v>87</v>
      </c>
      <c r="J16" s="106">
        <v>109</v>
      </c>
      <c r="K16" s="106">
        <v>99</v>
      </c>
      <c r="L16" s="106">
        <v>98</v>
      </c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 t="s">
        <v>20</v>
      </c>
    </row>
    <row r="17" spans="2:27" x14ac:dyDescent="0.2">
      <c r="B17" s="105" t="s">
        <v>359</v>
      </c>
      <c r="C17" s="106">
        <v>20</v>
      </c>
      <c r="D17" s="106">
        <v>18</v>
      </c>
      <c r="E17" s="106">
        <v>12</v>
      </c>
      <c r="F17" s="106">
        <v>16</v>
      </c>
      <c r="G17" s="106">
        <v>24</v>
      </c>
      <c r="H17" s="106">
        <v>13</v>
      </c>
      <c r="I17" s="106">
        <v>12</v>
      </c>
      <c r="J17" s="106">
        <v>15</v>
      </c>
      <c r="K17" s="106">
        <v>12</v>
      </c>
      <c r="L17" s="106">
        <v>11</v>
      </c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 t="s">
        <v>21</v>
      </c>
    </row>
    <row r="18" spans="2:27" x14ac:dyDescent="0.2">
      <c r="B18" s="105" t="s">
        <v>360</v>
      </c>
      <c r="C18" s="106">
        <v>12</v>
      </c>
      <c r="D18" s="106">
        <v>8</v>
      </c>
      <c r="E18" s="106">
        <v>14</v>
      </c>
      <c r="F18" s="106">
        <v>11</v>
      </c>
      <c r="G18" s="106">
        <v>10</v>
      </c>
      <c r="H18" s="106">
        <v>9</v>
      </c>
      <c r="I18" s="106">
        <v>7</v>
      </c>
      <c r="J18" s="106">
        <v>10</v>
      </c>
      <c r="K18" s="106">
        <v>8</v>
      </c>
      <c r="L18" s="106">
        <v>11</v>
      </c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 t="s">
        <v>22</v>
      </c>
    </row>
    <row r="19" spans="2:27" x14ac:dyDescent="0.2">
      <c r="B19" s="105" t="s">
        <v>361</v>
      </c>
      <c r="C19" s="106">
        <v>105</v>
      </c>
      <c r="D19" s="106">
        <v>103</v>
      </c>
      <c r="E19" s="106">
        <v>85</v>
      </c>
      <c r="F19" s="106">
        <v>88</v>
      </c>
      <c r="G19" s="106">
        <v>76</v>
      </c>
      <c r="H19" s="106">
        <v>75</v>
      </c>
      <c r="I19" s="106">
        <v>91</v>
      </c>
      <c r="J19" s="106">
        <v>61</v>
      </c>
      <c r="K19" s="106">
        <v>68</v>
      </c>
      <c r="L19" s="106">
        <v>80</v>
      </c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 t="s">
        <v>23</v>
      </c>
    </row>
    <row r="20" spans="2:27" x14ac:dyDescent="0.2">
      <c r="B20" s="105" t="s">
        <v>19</v>
      </c>
      <c r="C20" s="106">
        <v>52</v>
      </c>
      <c r="D20" s="106">
        <v>69</v>
      </c>
      <c r="E20" s="106">
        <v>63</v>
      </c>
      <c r="F20" s="106">
        <v>47</v>
      </c>
      <c r="G20" s="106">
        <v>46</v>
      </c>
      <c r="H20" s="106">
        <v>54</v>
      </c>
      <c r="I20" s="106">
        <v>48</v>
      </c>
      <c r="J20" s="106">
        <v>48</v>
      </c>
      <c r="K20" s="106">
        <v>45</v>
      </c>
      <c r="L20" s="106">
        <v>40</v>
      </c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 t="s">
        <v>24</v>
      </c>
    </row>
    <row r="21" spans="2:27" x14ac:dyDescent="0.2">
      <c r="B21" s="105" t="s">
        <v>362</v>
      </c>
      <c r="C21" s="106">
        <v>19</v>
      </c>
      <c r="D21" s="106">
        <v>20</v>
      </c>
      <c r="E21" s="106">
        <v>15</v>
      </c>
      <c r="F21" s="106">
        <v>27</v>
      </c>
      <c r="G21" s="106">
        <v>22</v>
      </c>
      <c r="H21" s="106">
        <v>17</v>
      </c>
      <c r="I21" s="106">
        <v>14</v>
      </c>
      <c r="J21" s="106">
        <v>23</v>
      </c>
      <c r="K21" s="106">
        <v>19</v>
      </c>
      <c r="L21" s="106">
        <v>17</v>
      </c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 t="s">
        <v>25</v>
      </c>
    </row>
    <row r="22" spans="2:27" x14ac:dyDescent="0.2">
      <c r="B22" s="105" t="s">
        <v>363</v>
      </c>
      <c r="C22" s="106">
        <v>12</v>
      </c>
      <c r="D22" s="106">
        <v>15</v>
      </c>
      <c r="E22" s="106">
        <v>13</v>
      </c>
      <c r="F22" s="106">
        <v>15</v>
      </c>
      <c r="G22" s="106">
        <v>23</v>
      </c>
      <c r="H22" s="106">
        <v>21</v>
      </c>
      <c r="I22" s="106">
        <v>16</v>
      </c>
      <c r="J22" s="106">
        <v>12</v>
      </c>
      <c r="K22" s="106">
        <v>18</v>
      </c>
      <c r="L22" s="106">
        <v>15</v>
      </c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 t="s">
        <v>26</v>
      </c>
    </row>
    <row r="23" spans="2:27" x14ac:dyDescent="0.2">
      <c r="B23" s="105" t="s">
        <v>364</v>
      </c>
      <c r="C23" s="106">
        <v>23</v>
      </c>
      <c r="D23" s="106">
        <v>23</v>
      </c>
      <c r="E23" s="106">
        <v>24</v>
      </c>
      <c r="F23" s="106">
        <v>24</v>
      </c>
      <c r="G23" s="106">
        <v>23</v>
      </c>
      <c r="H23" s="106">
        <v>29</v>
      </c>
      <c r="I23" s="106">
        <v>31</v>
      </c>
      <c r="J23" s="106">
        <v>26</v>
      </c>
      <c r="K23" s="106">
        <v>26</v>
      </c>
      <c r="L23" s="106">
        <v>26</v>
      </c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</row>
    <row r="24" spans="2:27" x14ac:dyDescent="0.2">
      <c r="B24" s="105" t="s">
        <v>365</v>
      </c>
      <c r="C24" s="106">
        <v>18</v>
      </c>
      <c r="D24" s="106">
        <v>22</v>
      </c>
      <c r="E24" s="106">
        <v>16</v>
      </c>
      <c r="F24" s="106">
        <v>14</v>
      </c>
      <c r="G24" s="106">
        <v>11</v>
      </c>
      <c r="H24" s="106">
        <v>18</v>
      </c>
      <c r="I24" s="106">
        <v>16</v>
      </c>
      <c r="J24" s="106">
        <v>17</v>
      </c>
      <c r="K24" s="106">
        <v>17</v>
      </c>
      <c r="L24" s="106">
        <v>17</v>
      </c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</row>
    <row r="25" spans="2:27" x14ac:dyDescent="0.2">
      <c r="B25" s="105" t="s">
        <v>366</v>
      </c>
      <c r="C25" s="106">
        <v>32</v>
      </c>
      <c r="D25" s="106">
        <v>39</v>
      </c>
      <c r="E25" s="106">
        <v>39</v>
      </c>
      <c r="F25" s="106">
        <v>34</v>
      </c>
      <c r="G25" s="106">
        <v>41</v>
      </c>
      <c r="H25" s="106">
        <v>37</v>
      </c>
      <c r="I25" s="106">
        <v>33</v>
      </c>
      <c r="J25" s="106">
        <v>37</v>
      </c>
      <c r="K25" s="106">
        <v>30</v>
      </c>
      <c r="L25" s="106">
        <v>32</v>
      </c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</row>
    <row r="26" spans="2:27" x14ac:dyDescent="0.2">
      <c r="B26" s="105" t="s">
        <v>367</v>
      </c>
      <c r="C26" s="106">
        <v>1048</v>
      </c>
      <c r="D26" s="106">
        <v>1150</v>
      </c>
      <c r="E26" s="106">
        <v>1130</v>
      </c>
      <c r="F26" s="106">
        <v>1190</v>
      </c>
      <c r="G26" s="106">
        <v>1195</v>
      </c>
      <c r="H26" s="106">
        <v>1219</v>
      </c>
      <c r="I26" s="106">
        <v>1229</v>
      </c>
      <c r="J26" s="106">
        <v>1223</v>
      </c>
      <c r="K26" s="106">
        <v>1159</v>
      </c>
      <c r="L26" s="106">
        <v>1117</v>
      </c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</row>
    <row r="27" spans="2:27" x14ac:dyDescent="0.2">
      <c r="B27" s="105" t="s">
        <v>368</v>
      </c>
      <c r="C27" s="106">
        <v>94</v>
      </c>
      <c r="D27" s="106">
        <v>102</v>
      </c>
      <c r="E27" s="106">
        <v>89</v>
      </c>
      <c r="F27" s="106">
        <v>88</v>
      </c>
      <c r="G27" s="106">
        <v>89</v>
      </c>
      <c r="H27" s="106">
        <v>75</v>
      </c>
      <c r="I27" s="106">
        <v>78</v>
      </c>
      <c r="J27" s="106">
        <v>75</v>
      </c>
      <c r="K27" s="106">
        <v>102</v>
      </c>
      <c r="L27" s="106">
        <v>90</v>
      </c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</row>
    <row r="28" spans="2:27" x14ac:dyDescent="0.2">
      <c r="B28" s="105" t="s">
        <v>369</v>
      </c>
      <c r="C28" s="106">
        <v>81</v>
      </c>
      <c r="D28" s="106">
        <v>83</v>
      </c>
      <c r="E28" s="106">
        <v>93</v>
      </c>
      <c r="F28" s="106">
        <v>89</v>
      </c>
      <c r="G28" s="106">
        <v>84</v>
      </c>
      <c r="H28" s="106">
        <v>80</v>
      </c>
      <c r="I28" s="106">
        <v>82</v>
      </c>
      <c r="J28" s="106">
        <v>89</v>
      </c>
      <c r="K28" s="106">
        <v>74</v>
      </c>
      <c r="L28" s="106">
        <v>81</v>
      </c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</row>
    <row r="29" spans="2:27" x14ac:dyDescent="0.2">
      <c r="B29" s="105" t="s">
        <v>370</v>
      </c>
      <c r="C29" s="106">
        <v>27</v>
      </c>
      <c r="D29" s="106">
        <v>37</v>
      </c>
      <c r="E29" s="106">
        <v>37</v>
      </c>
      <c r="F29" s="106">
        <v>33</v>
      </c>
      <c r="G29" s="106">
        <v>39</v>
      </c>
      <c r="H29" s="106">
        <v>37</v>
      </c>
      <c r="I29" s="106">
        <v>35</v>
      </c>
      <c r="J29" s="106">
        <v>34</v>
      </c>
      <c r="K29" s="106">
        <v>47</v>
      </c>
      <c r="L29" s="106">
        <v>28</v>
      </c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</row>
    <row r="30" spans="2:27" x14ac:dyDescent="0.2">
      <c r="B30" s="105" t="s">
        <v>371</v>
      </c>
      <c r="C30" s="106">
        <v>14</v>
      </c>
      <c r="D30" s="106">
        <v>18</v>
      </c>
      <c r="E30" s="106">
        <v>12</v>
      </c>
      <c r="F30" s="106">
        <v>10</v>
      </c>
      <c r="G30" s="106">
        <v>10</v>
      </c>
      <c r="H30" s="106">
        <v>7</v>
      </c>
      <c r="I30" s="106">
        <v>9</v>
      </c>
      <c r="J30" s="106">
        <v>15</v>
      </c>
      <c r="K30" s="106">
        <v>13</v>
      </c>
      <c r="L30" s="106">
        <v>10</v>
      </c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</row>
    <row r="31" spans="2:27" x14ac:dyDescent="0.2">
      <c r="B31" s="105" t="s">
        <v>372</v>
      </c>
      <c r="C31" s="106">
        <v>18</v>
      </c>
      <c r="D31" s="106">
        <v>31</v>
      </c>
      <c r="E31" s="106">
        <v>24</v>
      </c>
      <c r="F31" s="106">
        <v>25</v>
      </c>
      <c r="G31" s="106">
        <v>33</v>
      </c>
      <c r="H31" s="106">
        <v>25</v>
      </c>
      <c r="I31" s="106">
        <v>28</v>
      </c>
      <c r="J31" s="106">
        <v>35</v>
      </c>
      <c r="K31" s="106">
        <v>28</v>
      </c>
      <c r="L31" s="106">
        <v>30</v>
      </c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</row>
    <row r="32" spans="2:27" x14ac:dyDescent="0.2">
      <c r="B32" s="105" t="s">
        <v>373</v>
      </c>
      <c r="C32" s="106">
        <v>9</v>
      </c>
      <c r="D32" s="106">
        <v>9</v>
      </c>
      <c r="E32" s="106">
        <v>8</v>
      </c>
      <c r="F32" s="106">
        <v>5</v>
      </c>
      <c r="G32" s="106">
        <v>7</v>
      </c>
      <c r="H32" s="106">
        <v>11</v>
      </c>
      <c r="I32" s="106">
        <v>9</v>
      </c>
      <c r="J32" s="106">
        <v>13</v>
      </c>
      <c r="K32" s="106">
        <v>5</v>
      </c>
      <c r="L32" s="106">
        <v>7</v>
      </c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</row>
    <row r="33" spans="2:12" x14ac:dyDescent="0.2">
      <c r="B33" s="105" t="s">
        <v>374</v>
      </c>
      <c r="C33" s="106">
        <v>7</v>
      </c>
      <c r="D33" s="106">
        <v>8</v>
      </c>
      <c r="E33" s="106">
        <v>8</v>
      </c>
      <c r="F33" s="106">
        <v>8</v>
      </c>
      <c r="G33" s="106">
        <v>8</v>
      </c>
      <c r="H33" s="106">
        <v>7</v>
      </c>
      <c r="I33" s="106">
        <v>11</v>
      </c>
      <c r="J33" s="106">
        <v>6</v>
      </c>
      <c r="K33" s="106">
        <v>10</v>
      </c>
      <c r="L33" s="106">
        <v>11</v>
      </c>
    </row>
    <row r="34" spans="2:12" x14ac:dyDescent="0.2">
      <c r="B34" s="105" t="s">
        <v>375</v>
      </c>
      <c r="C34" s="106">
        <v>9</v>
      </c>
      <c r="D34" s="106">
        <v>12</v>
      </c>
      <c r="E34" s="106">
        <v>16</v>
      </c>
      <c r="F34" s="106">
        <v>16</v>
      </c>
      <c r="G34" s="106">
        <v>16</v>
      </c>
      <c r="H34" s="106">
        <v>12</v>
      </c>
      <c r="I34" s="106">
        <v>12</v>
      </c>
      <c r="J34" s="106">
        <v>14</v>
      </c>
      <c r="K34" s="106">
        <v>13</v>
      </c>
      <c r="L34" s="106">
        <v>10</v>
      </c>
    </row>
    <row r="35" spans="2:12" x14ac:dyDescent="0.2">
      <c r="B35" s="105" t="s">
        <v>376</v>
      </c>
      <c r="C35" s="106">
        <v>34</v>
      </c>
      <c r="D35" s="106">
        <v>48</v>
      </c>
      <c r="E35" s="106">
        <v>54</v>
      </c>
      <c r="F35" s="106">
        <v>55</v>
      </c>
      <c r="G35" s="106">
        <v>61</v>
      </c>
      <c r="H35" s="106">
        <v>44</v>
      </c>
      <c r="I35" s="106">
        <v>30</v>
      </c>
      <c r="J35" s="106">
        <v>35</v>
      </c>
      <c r="K35" s="106">
        <v>27</v>
      </c>
      <c r="L35" s="106">
        <v>33</v>
      </c>
    </row>
    <row r="36" spans="2:12" x14ac:dyDescent="0.2">
      <c r="B36" s="105" t="s">
        <v>377</v>
      </c>
      <c r="C36" s="106">
        <v>4928</v>
      </c>
      <c r="D36" s="106">
        <v>4950</v>
      </c>
      <c r="E36" s="106">
        <v>4876</v>
      </c>
      <c r="F36" s="106">
        <v>5062</v>
      </c>
      <c r="G36" s="106">
        <v>4761</v>
      </c>
      <c r="H36" s="106">
        <v>4564</v>
      </c>
      <c r="I36" s="106">
        <v>4320</v>
      </c>
      <c r="J36" s="106">
        <v>4063</v>
      </c>
      <c r="K36" s="106">
        <v>3783</v>
      </c>
      <c r="L36" s="106">
        <v>3535</v>
      </c>
    </row>
    <row r="37" spans="2:12" x14ac:dyDescent="0.2">
      <c r="B37" s="105" t="s">
        <v>378</v>
      </c>
      <c r="C37" s="106">
        <v>10</v>
      </c>
      <c r="D37" s="106">
        <v>18</v>
      </c>
      <c r="E37" s="106">
        <v>17</v>
      </c>
      <c r="F37" s="106">
        <v>12</v>
      </c>
      <c r="G37" s="106">
        <v>14</v>
      </c>
      <c r="H37" s="106">
        <v>10</v>
      </c>
      <c r="I37" s="106">
        <v>11</v>
      </c>
      <c r="J37" s="106">
        <v>14</v>
      </c>
      <c r="K37" s="106">
        <v>13</v>
      </c>
      <c r="L37" s="106">
        <v>17</v>
      </c>
    </row>
    <row r="38" spans="2:12" x14ac:dyDescent="0.2">
      <c r="B38" s="105" t="s">
        <v>379</v>
      </c>
      <c r="C38" s="106">
        <v>2027</v>
      </c>
      <c r="D38" s="106">
        <v>2056</v>
      </c>
      <c r="E38" s="106">
        <v>2041</v>
      </c>
      <c r="F38" s="106">
        <v>1906</v>
      </c>
      <c r="G38" s="106">
        <v>1800</v>
      </c>
      <c r="H38" s="106">
        <v>1780</v>
      </c>
      <c r="I38" s="106">
        <v>1771</v>
      </c>
      <c r="J38" s="106">
        <v>1695</v>
      </c>
      <c r="K38" s="106">
        <v>1509</v>
      </c>
      <c r="L38" s="106">
        <v>1459</v>
      </c>
    </row>
    <row r="39" spans="2:12" x14ac:dyDescent="0.2">
      <c r="B39" s="105" t="s">
        <v>380</v>
      </c>
      <c r="C39" s="106">
        <v>117</v>
      </c>
      <c r="D39" s="106">
        <v>121</v>
      </c>
      <c r="E39" s="106">
        <v>117</v>
      </c>
      <c r="F39" s="106">
        <v>138</v>
      </c>
      <c r="G39" s="106">
        <v>140</v>
      </c>
      <c r="H39" s="106">
        <v>147</v>
      </c>
      <c r="I39" s="106">
        <v>134</v>
      </c>
      <c r="J39" s="106">
        <v>130</v>
      </c>
      <c r="K39" s="106">
        <v>157</v>
      </c>
      <c r="L39" s="106">
        <v>143</v>
      </c>
    </row>
    <row r="40" spans="2:12" x14ac:dyDescent="0.2">
      <c r="B40" s="105" t="s">
        <v>381</v>
      </c>
      <c r="C40" s="106">
        <v>5</v>
      </c>
      <c r="D40" s="106">
        <v>2</v>
      </c>
      <c r="E40" s="106">
        <v>5</v>
      </c>
      <c r="F40" s="106">
        <v>8</v>
      </c>
      <c r="G40" s="106">
        <v>8</v>
      </c>
      <c r="H40" s="106">
        <v>8</v>
      </c>
      <c r="I40" s="106">
        <v>10</v>
      </c>
      <c r="J40" s="106">
        <v>11</v>
      </c>
      <c r="K40" s="106">
        <v>4</v>
      </c>
      <c r="L40" s="106">
        <v>6</v>
      </c>
    </row>
    <row r="41" spans="2:12" x14ac:dyDescent="0.2">
      <c r="B41" s="105" t="s">
        <v>382</v>
      </c>
      <c r="C41" s="106">
        <v>995</v>
      </c>
      <c r="D41" s="106">
        <v>1083</v>
      </c>
      <c r="E41" s="106">
        <v>1056</v>
      </c>
      <c r="F41" s="106">
        <v>970</v>
      </c>
      <c r="G41" s="106">
        <v>921</v>
      </c>
      <c r="H41" s="106">
        <v>908</v>
      </c>
      <c r="I41" s="106">
        <v>890</v>
      </c>
      <c r="J41" s="106">
        <v>867</v>
      </c>
      <c r="K41" s="106">
        <v>815</v>
      </c>
      <c r="L41" s="106">
        <v>775</v>
      </c>
    </row>
    <row r="42" spans="2:12" x14ac:dyDescent="0.2">
      <c r="B42" s="105" t="s">
        <v>383</v>
      </c>
      <c r="C42" s="106">
        <v>14</v>
      </c>
      <c r="D42" s="106">
        <v>11</v>
      </c>
      <c r="E42" s="106">
        <v>13</v>
      </c>
      <c r="F42" s="106">
        <v>8</v>
      </c>
      <c r="G42" s="106">
        <v>12</v>
      </c>
      <c r="H42" s="106">
        <v>12</v>
      </c>
      <c r="I42" s="106">
        <v>9</v>
      </c>
      <c r="J42" s="106">
        <v>10</v>
      </c>
      <c r="K42" s="106">
        <v>12</v>
      </c>
      <c r="L42" s="106">
        <v>18</v>
      </c>
    </row>
    <row r="43" spans="2:12" x14ac:dyDescent="0.2">
      <c r="B43" s="105" t="s">
        <v>384</v>
      </c>
      <c r="C43" s="106">
        <v>10</v>
      </c>
      <c r="D43" s="106">
        <v>18</v>
      </c>
      <c r="E43" s="106">
        <v>18</v>
      </c>
      <c r="F43" s="106">
        <v>18</v>
      </c>
      <c r="G43" s="106">
        <v>33</v>
      </c>
      <c r="H43" s="106">
        <v>30</v>
      </c>
      <c r="I43" s="106">
        <v>22</v>
      </c>
      <c r="J43" s="106">
        <v>39</v>
      </c>
      <c r="K43" s="106">
        <v>20</v>
      </c>
      <c r="L43" s="106">
        <v>16</v>
      </c>
    </row>
    <row r="44" spans="2:12" x14ac:dyDescent="0.2">
      <c r="B44" s="105" t="s">
        <v>385</v>
      </c>
      <c r="C44" s="106">
        <v>105974</v>
      </c>
      <c r="D44" s="106">
        <v>104359</v>
      </c>
      <c r="E44" s="106">
        <v>100709</v>
      </c>
      <c r="F44" s="106">
        <v>98147</v>
      </c>
      <c r="G44" s="106">
        <v>96126</v>
      </c>
      <c r="H44" s="106">
        <v>93961</v>
      </c>
      <c r="I44" s="106">
        <v>92002</v>
      </c>
      <c r="J44" s="106">
        <v>89914</v>
      </c>
      <c r="K44" s="106">
        <v>86619</v>
      </c>
      <c r="L44" s="106">
        <v>84622</v>
      </c>
    </row>
    <row r="45" spans="2:12" x14ac:dyDescent="0.2">
      <c r="B45" s="105" t="s">
        <v>386</v>
      </c>
      <c r="C45" s="106">
        <v>14</v>
      </c>
      <c r="D45" s="106">
        <v>17</v>
      </c>
      <c r="E45" s="106">
        <v>20</v>
      </c>
      <c r="F45" s="106">
        <v>18</v>
      </c>
      <c r="G45" s="106">
        <v>19</v>
      </c>
      <c r="H45" s="106">
        <v>19</v>
      </c>
      <c r="I45" s="106">
        <v>21</v>
      </c>
      <c r="J45" s="106">
        <v>22</v>
      </c>
      <c r="K45" s="106">
        <v>20</v>
      </c>
      <c r="L45" s="106">
        <v>17</v>
      </c>
    </row>
    <row r="46" spans="2:12" x14ac:dyDescent="0.2">
      <c r="B46" s="105" t="s">
        <v>387</v>
      </c>
      <c r="C46" s="106">
        <v>47</v>
      </c>
      <c r="D46" s="106">
        <v>48</v>
      </c>
      <c r="E46" s="106">
        <v>54</v>
      </c>
      <c r="F46" s="106">
        <v>44</v>
      </c>
      <c r="G46" s="106">
        <v>48</v>
      </c>
      <c r="H46" s="106">
        <v>52</v>
      </c>
      <c r="I46" s="106">
        <v>46</v>
      </c>
      <c r="J46" s="106">
        <v>61</v>
      </c>
      <c r="K46" s="106">
        <v>59</v>
      </c>
      <c r="L46" s="106">
        <v>65</v>
      </c>
    </row>
    <row r="47" spans="2:12" x14ac:dyDescent="0.2">
      <c r="B47" s="105" t="s">
        <v>388</v>
      </c>
      <c r="C47" s="106">
        <v>3</v>
      </c>
      <c r="D47" s="106">
        <v>4</v>
      </c>
      <c r="E47" s="106">
        <v>0</v>
      </c>
      <c r="F47" s="106">
        <v>5</v>
      </c>
      <c r="G47" s="106">
        <v>6</v>
      </c>
      <c r="H47" s="106">
        <v>5</v>
      </c>
      <c r="I47" s="106">
        <v>7</v>
      </c>
      <c r="J47" s="106">
        <v>4</v>
      </c>
      <c r="K47" s="106">
        <v>1</v>
      </c>
      <c r="L47" s="106">
        <v>1</v>
      </c>
    </row>
    <row r="48" spans="2:12" x14ac:dyDescent="0.2">
      <c r="B48" s="105" t="s">
        <v>389</v>
      </c>
      <c r="C48" s="106">
        <v>41</v>
      </c>
      <c r="D48" s="106">
        <v>38</v>
      </c>
      <c r="E48" s="106">
        <v>39</v>
      </c>
      <c r="F48" s="106">
        <v>42</v>
      </c>
      <c r="G48" s="106">
        <v>43</v>
      </c>
      <c r="H48" s="106">
        <v>34</v>
      </c>
      <c r="I48" s="106">
        <v>41</v>
      </c>
      <c r="J48" s="106">
        <v>41</v>
      </c>
      <c r="K48" s="106">
        <v>46</v>
      </c>
      <c r="L48" s="106">
        <v>41</v>
      </c>
    </row>
    <row r="49" spans="2:12" x14ac:dyDescent="0.2">
      <c r="B49" s="105" t="s">
        <v>390</v>
      </c>
      <c r="C49" s="106">
        <v>116</v>
      </c>
      <c r="D49" s="106">
        <v>106</v>
      </c>
      <c r="E49" s="106">
        <v>93</v>
      </c>
      <c r="F49" s="106">
        <v>101</v>
      </c>
      <c r="G49" s="106">
        <v>101</v>
      </c>
      <c r="H49" s="106">
        <v>105</v>
      </c>
      <c r="I49" s="106">
        <v>112</v>
      </c>
      <c r="J49" s="106">
        <v>136</v>
      </c>
      <c r="K49" s="106">
        <v>135</v>
      </c>
      <c r="L49" s="106">
        <v>132</v>
      </c>
    </row>
    <row r="50" spans="2:12" x14ac:dyDescent="0.2">
      <c r="B50" s="105" t="s">
        <v>391</v>
      </c>
      <c r="C50" s="106">
        <v>13</v>
      </c>
      <c r="D50" s="106">
        <v>16</v>
      </c>
      <c r="E50" s="106">
        <v>27</v>
      </c>
      <c r="F50" s="106">
        <v>21</v>
      </c>
      <c r="G50" s="106">
        <v>20</v>
      </c>
      <c r="H50" s="106">
        <v>17</v>
      </c>
      <c r="I50" s="106">
        <v>17</v>
      </c>
      <c r="J50" s="106">
        <v>16</v>
      </c>
      <c r="K50" s="106">
        <v>25</v>
      </c>
      <c r="L50" s="106">
        <v>27</v>
      </c>
    </row>
    <row r="51" spans="2:12" x14ac:dyDescent="0.2">
      <c r="B51" s="105" t="s">
        <v>392</v>
      </c>
      <c r="C51" s="106">
        <v>14</v>
      </c>
      <c r="D51" s="106">
        <v>13</v>
      </c>
      <c r="E51" s="106">
        <v>19</v>
      </c>
      <c r="F51" s="106">
        <v>24</v>
      </c>
      <c r="G51" s="106">
        <v>26</v>
      </c>
      <c r="H51" s="106">
        <v>26</v>
      </c>
      <c r="I51" s="106">
        <v>18</v>
      </c>
      <c r="J51" s="106">
        <v>20</v>
      </c>
      <c r="K51" s="106">
        <v>18</v>
      </c>
      <c r="L51" s="106">
        <v>21</v>
      </c>
    </row>
    <row r="52" spans="2:12" x14ac:dyDescent="0.2">
      <c r="B52" s="105" t="s">
        <v>393</v>
      </c>
      <c r="C52" s="106">
        <v>480</v>
      </c>
      <c r="D52" s="106">
        <v>503</v>
      </c>
      <c r="E52" s="106">
        <v>549</v>
      </c>
      <c r="F52" s="106">
        <v>511</v>
      </c>
      <c r="G52" s="106">
        <v>491</v>
      </c>
      <c r="H52" s="106">
        <v>443</v>
      </c>
      <c r="I52" s="106">
        <v>434</v>
      </c>
      <c r="J52" s="106">
        <v>429</v>
      </c>
      <c r="K52" s="106">
        <v>420</v>
      </c>
      <c r="L52" s="106">
        <v>434</v>
      </c>
    </row>
    <row r="53" spans="2:12" x14ac:dyDescent="0.2">
      <c r="B53" s="105" t="s">
        <v>340</v>
      </c>
      <c r="C53" s="106">
        <v>65</v>
      </c>
      <c r="D53" s="106">
        <v>51</v>
      </c>
      <c r="E53" s="106">
        <v>64</v>
      </c>
      <c r="F53" s="106">
        <v>53</v>
      </c>
      <c r="G53" s="106">
        <v>47</v>
      </c>
      <c r="H53" s="106">
        <v>44</v>
      </c>
      <c r="I53" s="106">
        <v>46</v>
      </c>
      <c r="J53" s="106">
        <v>48</v>
      </c>
      <c r="K53" s="106">
        <v>31</v>
      </c>
      <c r="L53" s="106">
        <v>38</v>
      </c>
    </row>
    <row r="54" spans="2:12" x14ac:dyDescent="0.2">
      <c r="B54" s="105" t="s">
        <v>394</v>
      </c>
      <c r="C54" s="106">
        <v>93</v>
      </c>
      <c r="D54" s="106">
        <v>109</v>
      </c>
      <c r="E54" s="106">
        <v>100</v>
      </c>
      <c r="F54" s="106">
        <v>98</v>
      </c>
      <c r="G54" s="106">
        <v>90</v>
      </c>
      <c r="H54" s="106">
        <v>114</v>
      </c>
      <c r="I54" s="106">
        <v>120</v>
      </c>
      <c r="J54" s="106">
        <v>126</v>
      </c>
      <c r="K54" s="106">
        <v>110</v>
      </c>
      <c r="L54" s="106">
        <v>120</v>
      </c>
    </row>
    <row r="55" spans="2:12" x14ac:dyDescent="0.2">
      <c r="B55" s="105" t="s">
        <v>395</v>
      </c>
      <c r="C55" s="106">
        <v>28</v>
      </c>
      <c r="D55" s="106">
        <v>39</v>
      </c>
      <c r="E55" s="106">
        <v>31</v>
      </c>
      <c r="F55" s="106">
        <v>24</v>
      </c>
      <c r="G55" s="106">
        <v>30</v>
      </c>
      <c r="H55" s="106">
        <v>38</v>
      </c>
      <c r="I55" s="106">
        <v>37</v>
      </c>
      <c r="J55" s="106">
        <v>37</v>
      </c>
      <c r="K55" s="106">
        <v>44</v>
      </c>
      <c r="L55" s="106">
        <v>36</v>
      </c>
    </row>
    <row r="56" spans="2:12" x14ac:dyDescent="0.2">
      <c r="B56" s="105" t="s">
        <v>343</v>
      </c>
      <c r="C56" s="106">
        <v>5</v>
      </c>
      <c r="D56" s="106">
        <v>11</v>
      </c>
      <c r="E56" s="106">
        <v>11</v>
      </c>
      <c r="F56" s="106">
        <v>10</v>
      </c>
      <c r="G56" s="106">
        <v>1</v>
      </c>
      <c r="H56" s="106">
        <v>7</v>
      </c>
      <c r="I56" s="106">
        <v>7</v>
      </c>
      <c r="J56" s="106">
        <v>15</v>
      </c>
      <c r="K56" s="106">
        <v>12</v>
      </c>
      <c r="L56" s="106">
        <v>8</v>
      </c>
    </row>
    <row r="57" spans="2:12" x14ac:dyDescent="0.2">
      <c r="B57" s="117" t="s">
        <v>396</v>
      </c>
      <c r="C57" s="118">
        <v>1631</v>
      </c>
      <c r="D57" s="118">
        <v>1531</v>
      </c>
      <c r="E57" s="118">
        <v>1740</v>
      </c>
      <c r="F57" s="118">
        <v>1877</v>
      </c>
      <c r="G57" s="118">
        <v>1990</v>
      </c>
      <c r="H57" s="118">
        <v>2074</v>
      </c>
      <c r="I57" s="118">
        <v>1904</v>
      </c>
      <c r="J57" s="118">
        <v>1743</v>
      </c>
      <c r="K57" s="118">
        <v>1534</v>
      </c>
      <c r="L57" s="118">
        <v>1321</v>
      </c>
    </row>
    <row r="58" spans="2:12" x14ac:dyDescent="0.2">
      <c r="B58" s="20" t="s">
        <v>27</v>
      </c>
      <c r="C58" s="21">
        <f>SUBTOTAL(109,'Enrollment by State'!$C$6:$C$57)</f>
        <v>119513</v>
      </c>
      <c r="D58" s="21">
        <f>SUBTOTAL(109,'Enrollment by State'!$D$6:$D$57)</f>
        <v>118224</v>
      </c>
      <c r="E58" s="21">
        <f>SUBTOTAL(109,'Enrollment by State'!$E$6:$E$57)</f>
        <v>114688</v>
      </c>
      <c r="F58" s="21">
        <f>SUBTOTAL(109,'Enrollment by State'!$F$6:$F$57)</f>
        <v>112225</v>
      </c>
      <c r="G58" s="21">
        <f>SUBTOTAL(109,'Enrollment by State'!$G$6:$G$57)</f>
        <v>109808</v>
      </c>
      <c r="H58" s="21">
        <f>SUBTOTAL(109,'Enrollment by State'!$H$6:$H$57)</f>
        <v>107399</v>
      </c>
      <c r="I58" s="21">
        <f>SUBTOTAL(109,'Enrollment by State'!$I$6:$I$57)</f>
        <v>105049</v>
      </c>
      <c r="J58" s="21">
        <f>SUBTOTAL(109,'Enrollment by State'!$J$6:$J$57)</f>
        <v>102572</v>
      </c>
      <c r="K58" s="21">
        <f>SUBTOTAL(109,'Enrollment by State'!$K$6:$K$57)</f>
        <v>98363</v>
      </c>
      <c r="L58" s="21">
        <f>SUBTOTAL(109,'Enrollment by State'!$L$6:$L$57)</f>
        <v>95802</v>
      </c>
    </row>
    <row r="59" spans="2:12" x14ac:dyDescent="0.2">
      <c r="B59" s="119"/>
      <c r="C59" s="120"/>
      <c r="D59" s="120"/>
      <c r="E59" s="120"/>
      <c r="F59" s="120"/>
      <c r="G59" s="120"/>
      <c r="H59" s="120"/>
      <c r="I59" s="120"/>
      <c r="J59" s="120"/>
      <c r="K59" s="120"/>
      <c r="L59" s="121"/>
    </row>
  </sheetData>
  <mergeCells count="3">
    <mergeCell ref="B1:L1"/>
    <mergeCell ref="B2:L2"/>
    <mergeCell ref="B3:L3"/>
  </mergeCells>
  <dataValidations disablePrompts="1" count="1">
    <dataValidation type="list" allowBlank="1" showInputMessage="1" showErrorMessage="1" sqref="B3 M3">
      <formula1>$AA$8:$AA$22</formula1>
    </dataValidation>
  </dataValidations>
  <printOptions horizontalCentered="1"/>
  <pageMargins left="0.5" right="0.5" top="1" bottom="0.5" header="0.3" footer="0.3"/>
  <pageSetup scale="57" fitToHeight="0" orientation="portrait" r:id="rId1"/>
  <headerFooter>
    <oddHeader>&amp;L&amp;"Arial,Regular"&amp;10Pennsylvania's State System of Higher Education | &amp;D
Office of Educational Intelligence | Page &amp;P of &amp;N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B1:M172"/>
  <sheetViews>
    <sheetView zoomScaleNormal="100" workbookViewId="0">
      <selection activeCell="N25" sqref="N25"/>
    </sheetView>
  </sheetViews>
  <sheetFormatPr defaultRowHeight="14.25" x14ac:dyDescent="0.2"/>
  <cols>
    <col min="1" max="1" width="9.140625" style="5"/>
    <col min="2" max="2" width="30.140625" style="5" bestFit="1" customWidth="1"/>
    <col min="3" max="11" width="9.140625" style="5" bestFit="1" customWidth="1"/>
    <col min="12" max="12" width="10.28515625" style="5" bestFit="1" customWidth="1"/>
    <col min="13" max="16384" width="9.140625" style="5"/>
  </cols>
  <sheetData>
    <row r="1" spans="2:13" ht="15" x14ac:dyDescent="0.2">
      <c r="B1" s="126" t="s">
        <v>0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7"/>
    </row>
    <row r="2" spans="2:13" ht="15" x14ac:dyDescent="0.2">
      <c r="B2" s="127" t="str">
        <f>CONCATENATE("Total Number of Enrollments by Major* ",  IF(RIGHT(Parameters!B1,1) = "1","Fall ", "Spring "),IF(RIGHT(Parameters!B1,1)  = "1",LEFT(Parameters!B1,4) -9, LEFT(Parameters!B1,4)-8 ),"-",IF(RIGHT(Parameters!B1,1)  = "1",LEFT(Parameters!B1,4), LEFT(Parameters!B1,4)+1 ))</f>
        <v>Total Number of Enrollments by Major* Fall 2010-2019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8"/>
    </row>
    <row r="3" spans="2:13" x14ac:dyDescent="0.2">
      <c r="B3" s="52" t="s">
        <v>397</v>
      </c>
      <c r="C3" s="52" t="str">
        <f>CONCATENATE(IF(RIGHT(Parameters!B1,1) = "1","Fall ", "Spring "),IF(RIGHT(Parameters!B1,1) = "1",LEFT(Parameters!B1,4) -9, LEFT(Parameters!B1,4) - 8))</f>
        <v>Fall 2010</v>
      </c>
      <c r="D3" s="52" t="str">
        <f>CONCATENATE(IF(RIGHT(Parameters!B1,1) = "1","Fall ", "Spring "),IF(RIGHT(Parameters!B1,1) = "1",LEFT(Parameters!B1,4) -8, LEFT(Parameters!B1,4) - 7))</f>
        <v>Fall 2011</v>
      </c>
      <c r="E3" s="52" t="str">
        <f>CONCATENATE(IF(RIGHT(Parameters!B1,1) = "1","Fall ", "Spring "),IF(RIGHT(Parameters!B1,1) = "1",LEFT(Parameters!B1,4) -7, LEFT(Parameters!B1,4) - 6))</f>
        <v>Fall 2012</v>
      </c>
      <c r="F3" s="52" t="str">
        <f>CONCATENATE(IF(RIGHT(Parameters!B1,1) = "1","Fall ", "Spring "),IF(RIGHT(Parameters!B1,1) = "1",LEFT(Parameters!B1,4) -6, LEFT(Parameters!B1,4) - 5))</f>
        <v>Fall 2013</v>
      </c>
      <c r="G3" s="52" t="str">
        <f>CONCATENATE(IF(RIGHT(Parameters!B1,1) = "1","Fall ", "Spring "),IF(RIGHT(Parameters!B1,1) = "1",LEFT(Parameters!B1,4) -5, LEFT(Parameters!B1,4) - 4))</f>
        <v>Fall 2014</v>
      </c>
      <c r="H3" s="52" t="str">
        <f>CONCATENATE(IF(RIGHT(Parameters!B1,1) = "1","Fall ", "Spring "),IF(RIGHT(Parameters!B1,1) = "1",LEFT(Parameters!B1,4) -4, LEFT(Parameters!B1,4) - 3))</f>
        <v>Fall 2015</v>
      </c>
      <c r="I3" s="52" t="str">
        <f>CONCATENATE(IF(RIGHT(Parameters!B1,1) = "1","Fall ", "Spring "),IF(RIGHT(Parameters!B1,1) = "1",LEFT(Parameters!B1,4) -3, LEFT(Parameters!B1,4) -2 ))</f>
        <v>Fall 2016</v>
      </c>
      <c r="J3" s="52" t="str">
        <f>CONCATENATE(IF(RIGHT(Parameters!B1,1) = "1","Fall ", "Spring "),IF(RIGHT(Parameters!B1,1) = "1",LEFT(Parameters!B1,4) -2, LEFT(Parameters!B1,4) -1 ))</f>
        <v>Fall 2017</v>
      </c>
      <c r="K3" s="52" t="str">
        <f>CONCATENATE(IF(RIGHT(Parameters!B1,1) = "1","Fall ", "Spring "),IF(RIGHT(Parameters!B1,1) = "1",LEFT(Parameters!B1,4) -1, LEFT(Parameters!B1,4)  ))</f>
        <v>Fall 2018</v>
      </c>
      <c r="L3" s="52" t="str">
        <f>CONCATENATE(IF(RIGHT(Parameters!B1,1) = "1","Fall ", "Spring "),IF(RIGHT(Parameters!B1,1) = "1",LEFT(Parameters!B1,4), LEFT(Parameters!B1,4) + 1))</f>
        <v>Fall 2019</v>
      </c>
      <c r="M3" s="60"/>
    </row>
    <row r="4" spans="2:13" ht="15.75" hidden="1" customHeight="1" x14ac:dyDescent="0.2">
      <c r="B4" s="122" t="s">
        <v>397</v>
      </c>
      <c r="C4" s="64" t="s">
        <v>3</v>
      </c>
      <c r="D4" s="64" t="s">
        <v>4</v>
      </c>
      <c r="E4" s="64" t="s">
        <v>5</v>
      </c>
      <c r="F4" s="64" t="s">
        <v>6</v>
      </c>
      <c r="G4" s="64" t="s">
        <v>7</v>
      </c>
      <c r="H4" s="64" t="s">
        <v>8</v>
      </c>
      <c r="I4" s="64" t="s">
        <v>9</v>
      </c>
      <c r="J4" s="64" t="s">
        <v>10</v>
      </c>
      <c r="K4" s="64" t="s">
        <v>11</v>
      </c>
      <c r="L4" s="123" t="s">
        <v>12</v>
      </c>
      <c r="M4" s="60"/>
    </row>
    <row r="5" spans="2:13" x14ac:dyDescent="0.2">
      <c r="B5" s="105" t="s">
        <v>398</v>
      </c>
      <c r="C5" s="106">
        <v>0</v>
      </c>
      <c r="D5" s="106">
        <v>0</v>
      </c>
      <c r="E5" s="106">
        <v>0</v>
      </c>
      <c r="F5" s="106">
        <v>0</v>
      </c>
      <c r="G5" s="106">
        <v>0</v>
      </c>
      <c r="H5" s="106">
        <v>0</v>
      </c>
      <c r="I5" s="106">
        <v>0</v>
      </c>
      <c r="J5" s="106">
        <v>0</v>
      </c>
      <c r="K5" s="106">
        <v>13</v>
      </c>
      <c r="L5" s="106">
        <v>0</v>
      </c>
      <c r="M5" s="60"/>
    </row>
    <row r="6" spans="2:13" x14ac:dyDescent="0.2">
      <c r="B6" s="105" t="s">
        <v>399</v>
      </c>
      <c r="C6" s="106">
        <v>36</v>
      </c>
      <c r="D6" s="106">
        <v>36</v>
      </c>
      <c r="E6" s="106">
        <v>48</v>
      </c>
      <c r="F6" s="106">
        <v>48</v>
      </c>
      <c r="G6" s="106">
        <v>47</v>
      </c>
      <c r="H6" s="106">
        <v>47</v>
      </c>
      <c r="I6" s="106">
        <v>44</v>
      </c>
      <c r="J6" s="106">
        <v>71</v>
      </c>
      <c r="K6" s="106">
        <v>95</v>
      </c>
      <c r="L6" s="106">
        <v>88</v>
      </c>
      <c r="M6" s="60"/>
    </row>
    <row r="7" spans="2:13" x14ac:dyDescent="0.2">
      <c r="B7" s="105" t="s">
        <v>400</v>
      </c>
      <c r="C7" s="106">
        <v>117</v>
      </c>
      <c r="D7" s="106">
        <v>120</v>
      </c>
      <c r="E7" s="106">
        <v>122</v>
      </c>
      <c r="F7" s="106">
        <v>148</v>
      </c>
      <c r="G7" s="106">
        <v>146</v>
      </c>
      <c r="H7" s="106">
        <v>131</v>
      </c>
      <c r="I7" s="106">
        <v>117</v>
      </c>
      <c r="J7" s="106">
        <v>114</v>
      </c>
      <c r="K7" s="106">
        <v>102</v>
      </c>
      <c r="L7" s="106">
        <v>89</v>
      </c>
      <c r="M7" s="60"/>
    </row>
    <row r="8" spans="2:13" x14ac:dyDescent="0.2">
      <c r="B8" s="105" t="s">
        <v>401</v>
      </c>
      <c r="C8" s="106">
        <v>4648</v>
      </c>
      <c r="D8" s="106">
        <v>4770</v>
      </c>
      <c r="E8" s="106">
        <v>4919</v>
      </c>
      <c r="F8" s="106">
        <v>4981</v>
      </c>
      <c r="G8" s="106">
        <v>4926</v>
      </c>
      <c r="H8" s="106">
        <v>4944</v>
      </c>
      <c r="I8" s="106">
        <v>4746</v>
      </c>
      <c r="J8" s="106">
        <v>4780</v>
      </c>
      <c r="K8" s="106">
        <v>4610</v>
      </c>
      <c r="L8" s="106">
        <v>4428</v>
      </c>
      <c r="M8" s="60"/>
    </row>
    <row r="9" spans="2:13" x14ac:dyDescent="0.2">
      <c r="B9" s="105" t="s">
        <v>402</v>
      </c>
      <c r="C9" s="106">
        <v>13820</v>
      </c>
      <c r="D9" s="106">
        <v>13632</v>
      </c>
      <c r="E9" s="106">
        <v>14347</v>
      </c>
      <c r="F9" s="106">
        <v>14956</v>
      </c>
      <c r="G9" s="106">
        <v>16019</v>
      </c>
      <c r="H9" s="106">
        <v>16332</v>
      </c>
      <c r="I9" s="106">
        <v>16405</v>
      </c>
      <c r="J9" s="106">
        <v>16175</v>
      </c>
      <c r="K9" s="106">
        <v>15266</v>
      </c>
      <c r="L9" s="106">
        <v>14254</v>
      </c>
      <c r="M9" s="60"/>
    </row>
    <row r="10" spans="2:13" x14ac:dyDescent="0.2">
      <c r="B10" s="105" t="s">
        <v>403</v>
      </c>
      <c r="C10" s="106">
        <v>123</v>
      </c>
      <c r="D10" s="106">
        <v>123</v>
      </c>
      <c r="E10" s="106">
        <v>116</v>
      </c>
      <c r="F10" s="106">
        <v>126</v>
      </c>
      <c r="G10" s="106">
        <v>114</v>
      </c>
      <c r="H10" s="106">
        <v>126</v>
      </c>
      <c r="I10" s="106">
        <v>143</v>
      </c>
      <c r="J10" s="106">
        <v>153</v>
      </c>
      <c r="K10" s="106">
        <v>140</v>
      </c>
      <c r="L10" s="106">
        <v>135</v>
      </c>
      <c r="M10" s="60"/>
    </row>
    <row r="11" spans="2:13" x14ac:dyDescent="0.2">
      <c r="B11" s="105" t="s">
        <v>404</v>
      </c>
      <c r="C11" s="106">
        <v>3608</v>
      </c>
      <c r="D11" s="106">
        <v>3603</v>
      </c>
      <c r="E11" s="106">
        <v>3977</v>
      </c>
      <c r="F11" s="106">
        <v>3878</v>
      </c>
      <c r="G11" s="106">
        <v>3775</v>
      </c>
      <c r="H11" s="106">
        <v>3570</v>
      </c>
      <c r="I11" s="106">
        <v>3864</v>
      </c>
      <c r="J11" s="106">
        <v>3565</v>
      </c>
      <c r="K11" s="106">
        <v>3246</v>
      </c>
      <c r="L11" s="106">
        <v>3241</v>
      </c>
      <c r="M11" s="60"/>
    </row>
    <row r="12" spans="2:13" x14ac:dyDescent="0.2">
      <c r="B12" s="105" t="s">
        <v>405</v>
      </c>
      <c r="C12" s="106">
        <v>2248</v>
      </c>
      <c r="D12" s="106">
        <v>2332</v>
      </c>
      <c r="E12" s="106">
        <v>2453</v>
      </c>
      <c r="F12" s="106">
        <v>2605</v>
      </c>
      <c r="G12" s="106">
        <v>2681</v>
      </c>
      <c r="H12" s="106">
        <v>2870</v>
      </c>
      <c r="I12" s="106">
        <v>2957</v>
      </c>
      <c r="J12" s="106">
        <v>3123</v>
      </c>
      <c r="K12" s="106">
        <v>3016</v>
      </c>
      <c r="L12" s="106">
        <v>2858</v>
      </c>
      <c r="M12" s="60"/>
    </row>
    <row r="13" spans="2:13" x14ac:dyDescent="0.2">
      <c r="B13" s="105" t="s">
        <v>406</v>
      </c>
      <c r="C13" s="106">
        <v>17402</v>
      </c>
      <c r="D13" s="106">
        <v>16406</v>
      </c>
      <c r="E13" s="106">
        <v>13846</v>
      </c>
      <c r="F13" s="106">
        <v>12413</v>
      </c>
      <c r="G13" s="106">
        <v>11662</v>
      </c>
      <c r="H13" s="106">
        <v>11583</v>
      </c>
      <c r="I13" s="106">
        <v>11705</v>
      </c>
      <c r="J13" s="106">
        <v>11762</v>
      </c>
      <c r="K13" s="106">
        <v>12086</v>
      </c>
      <c r="L13" s="106">
        <v>12213</v>
      </c>
      <c r="M13" s="60"/>
    </row>
    <row r="14" spans="2:13" x14ac:dyDescent="0.2">
      <c r="B14" s="105" t="s">
        <v>407</v>
      </c>
      <c r="C14" s="106">
        <v>59</v>
      </c>
      <c r="D14" s="106">
        <v>85</v>
      </c>
      <c r="E14" s="106">
        <v>142</v>
      </c>
      <c r="F14" s="106">
        <v>193</v>
      </c>
      <c r="G14" s="106">
        <v>243</v>
      </c>
      <c r="H14" s="106">
        <v>274</v>
      </c>
      <c r="I14" s="106">
        <v>272</v>
      </c>
      <c r="J14" s="106">
        <v>335</v>
      </c>
      <c r="K14" s="106">
        <v>400</v>
      </c>
      <c r="L14" s="106">
        <v>548</v>
      </c>
      <c r="M14" s="60"/>
    </row>
    <row r="15" spans="2:13" x14ac:dyDescent="0.2">
      <c r="B15" s="105" t="s">
        <v>408</v>
      </c>
      <c r="C15" s="106">
        <v>1644</v>
      </c>
      <c r="D15" s="106">
        <v>1568</v>
      </c>
      <c r="E15" s="106">
        <v>1522</v>
      </c>
      <c r="F15" s="106">
        <v>1604</v>
      </c>
      <c r="G15" s="106">
        <v>1703</v>
      </c>
      <c r="H15" s="106">
        <v>1795</v>
      </c>
      <c r="I15" s="106">
        <v>1860</v>
      </c>
      <c r="J15" s="106">
        <v>1775</v>
      </c>
      <c r="K15" s="106">
        <v>1635</v>
      </c>
      <c r="L15" s="106">
        <v>1631</v>
      </c>
      <c r="M15" s="60"/>
    </row>
    <row r="16" spans="2:13" x14ac:dyDescent="0.2">
      <c r="B16" s="105" t="s">
        <v>409</v>
      </c>
      <c r="C16" s="106">
        <v>4887</v>
      </c>
      <c r="D16" s="106">
        <v>4907</v>
      </c>
      <c r="E16" s="106">
        <v>4295</v>
      </c>
      <c r="F16" s="106">
        <v>4071</v>
      </c>
      <c r="G16" s="106">
        <v>3798</v>
      </c>
      <c r="H16" s="106">
        <v>3477</v>
      </c>
      <c r="I16" s="106">
        <v>2950</v>
      </c>
      <c r="J16" s="106">
        <v>2903</v>
      </c>
      <c r="K16" s="106">
        <v>2705</v>
      </c>
      <c r="L16" s="106">
        <v>2555</v>
      </c>
      <c r="M16" s="60"/>
    </row>
    <row r="17" spans="2:12" x14ac:dyDescent="0.2">
      <c r="B17" s="105" t="s">
        <v>410</v>
      </c>
      <c r="C17" s="106">
        <v>488</v>
      </c>
      <c r="D17" s="106">
        <v>532</v>
      </c>
      <c r="E17" s="106">
        <v>497</v>
      </c>
      <c r="F17" s="106">
        <v>499</v>
      </c>
      <c r="G17" s="106">
        <v>520</v>
      </c>
      <c r="H17" s="106">
        <v>511</v>
      </c>
      <c r="I17" s="106">
        <v>577</v>
      </c>
      <c r="J17" s="106">
        <v>514</v>
      </c>
      <c r="K17" s="106">
        <v>424</v>
      </c>
      <c r="L17" s="106">
        <v>397</v>
      </c>
    </row>
    <row r="18" spans="2:12" x14ac:dyDescent="0.2">
      <c r="B18" s="105" t="s">
        <v>411</v>
      </c>
      <c r="C18" s="106">
        <v>632</v>
      </c>
      <c r="D18" s="106">
        <v>678</v>
      </c>
      <c r="E18" s="106">
        <v>584</v>
      </c>
      <c r="F18" s="106">
        <v>593</v>
      </c>
      <c r="G18" s="106">
        <v>590</v>
      </c>
      <c r="H18" s="106">
        <v>521</v>
      </c>
      <c r="I18" s="106">
        <v>497</v>
      </c>
      <c r="J18" s="106">
        <v>473</v>
      </c>
      <c r="K18" s="106">
        <v>366</v>
      </c>
      <c r="L18" s="106">
        <v>310</v>
      </c>
    </row>
    <row r="19" spans="2:12" x14ac:dyDescent="0.2">
      <c r="B19" s="105" t="s">
        <v>412</v>
      </c>
      <c r="C19" s="106">
        <v>890</v>
      </c>
      <c r="D19" s="106">
        <v>863</v>
      </c>
      <c r="E19" s="106">
        <v>861</v>
      </c>
      <c r="F19" s="106">
        <v>782</v>
      </c>
      <c r="G19" s="106">
        <v>686</v>
      </c>
      <c r="H19" s="106">
        <v>624</v>
      </c>
      <c r="I19" s="106">
        <v>574</v>
      </c>
      <c r="J19" s="106">
        <v>579</v>
      </c>
      <c r="K19" s="106">
        <v>557</v>
      </c>
      <c r="L19" s="106">
        <v>542</v>
      </c>
    </row>
    <row r="20" spans="2:12" x14ac:dyDescent="0.2">
      <c r="B20" s="105" t="s">
        <v>413</v>
      </c>
      <c r="C20" s="106">
        <v>10611</v>
      </c>
      <c r="D20" s="106">
        <v>11233</v>
      </c>
      <c r="E20" s="106">
        <v>11777</v>
      </c>
      <c r="F20" s="106">
        <v>12436</v>
      </c>
      <c r="G20" s="106">
        <v>12520</v>
      </c>
      <c r="H20" s="106">
        <v>12752</v>
      </c>
      <c r="I20" s="106">
        <v>12842</v>
      </c>
      <c r="J20" s="106">
        <v>12785</v>
      </c>
      <c r="K20" s="106">
        <v>12573</v>
      </c>
      <c r="L20" s="106">
        <v>12251</v>
      </c>
    </row>
    <row r="21" spans="2:12" x14ac:dyDescent="0.2">
      <c r="B21" s="105" t="s">
        <v>414</v>
      </c>
      <c r="C21" s="106">
        <v>2304</v>
      </c>
      <c r="D21" s="106">
        <v>2418</v>
      </c>
      <c r="E21" s="106">
        <v>2107</v>
      </c>
      <c r="F21" s="106">
        <v>1837</v>
      </c>
      <c r="G21" s="106">
        <v>1581</v>
      </c>
      <c r="H21" s="106">
        <v>1413</v>
      </c>
      <c r="I21" s="106">
        <v>1257</v>
      </c>
      <c r="J21" s="106">
        <v>1173</v>
      </c>
      <c r="K21" s="106">
        <v>1129</v>
      </c>
      <c r="L21" s="106">
        <v>1117</v>
      </c>
    </row>
    <row r="22" spans="2:12" x14ac:dyDescent="0.2">
      <c r="B22" s="105" t="s">
        <v>415</v>
      </c>
      <c r="C22" s="106">
        <v>0</v>
      </c>
      <c r="D22" s="106">
        <v>0</v>
      </c>
      <c r="E22" s="106">
        <v>0</v>
      </c>
      <c r="F22" s="106">
        <v>70</v>
      </c>
      <c r="G22" s="106">
        <v>70</v>
      </c>
      <c r="H22" s="106">
        <v>79</v>
      </c>
      <c r="I22" s="106">
        <v>46</v>
      </c>
      <c r="J22" s="106">
        <v>0</v>
      </c>
      <c r="K22" s="106">
        <v>0</v>
      </c>
      <c r="L22" s="106">
        <v>0</v>
      </c>
    </row>
    <row r="23" spans="2:12" x14ac:dyDescent="0.2">
      <c r="B23" s="105" t="s">
        <v>416</v>
      </c>
      <c r="C23" s="106">
        <v>257</v>
      </c>
      <c r="D23" s="106">
        <v>353</v>
      </c>
      <c r="E23" s="106">
        <v>166</v>
      </c>
      <c r="F23" s="106">
        <v>169</v>
      </c>
      <c r="G23" s="106">
        <v>180</v>
      </c>
      <c r="H23" s="106">
        <v>192</v>
      </c>
      <c r="I23" s="106">
        <v>159</v>
      </c>
      <c r="J23" s="106">
        <v>158</v>
      </c>
      <c r="K23" s="106">
        <v>146</v>
      </c>
      <c r="L23" s="106">
        <v>129</v>
      </c>
    </row>
    <row r="24" spans="2:12" x14ac:dyDescent="0.2">
      <c r="B24" s="105" t="s">
        <v>417</v>
      </c>
      <c r="C24" s="106">
        <v>0</v>
      </c>
      <c r="D24" s="106">
        <v>0</v>
      </c>
      <c r="E24" s="106">
        <v>0</v>
      </c>
      <c r="F24" s="106">
        <v>0</v>
      </c>
      <c r="G24" s="106">
        <v>0</v>
      </c>
      <c r="H24" s="106">
        <v>0</v>
      </c>
      <c r="I24" s="106">
        <v>0</v>
      </c>
      <c r="J24" s="106">
        <v>1</v>
      </c>
      <c r="K24" s="106">
        <v>0</v>
      </c>
      <c r="L24" s="106">
        <v>0</v>
      </c>
    </row>
    <row r="25" spans="2:12" x14ac:dyDescent="0.2">
      <c r="B25" s="105" t="s">
        <v>418</v>
      </c>
      <c r="C25" s="106">
        <v>1842</v>
      </c>
      <c r="D25" s="106">
        <v>1840</v>
      </c>
      <c r="E25" s="106">
        <v>1750</v>
      </c>
      <c r="F25" s="106">
        <v>1444</v>
      </c>
      <c r="G25" s="106">
        <v>1742</v>
      </c>
      <c r="H25" s="106">
        <v>1383</v>
      </c>
      <c r="I25" s="106">
        <v>1319</v>
      </c>
      <c r="J25" s="106">
        <v>1263</v>
      </c>
      <c r="K25" s="106">
        <v>1029</v>
      </c>
      <c r="L25" s="106">
        <v>1057</v>
      </c>
    </row>
    <row r="26" spans="2:12" x14ac:dyDescent="0.2">
      <c r="B26" s="105" t="s">
        <v>419</v>
      </c>
      <c r="C26" s="106">
        <v>719</v>
      </c>
      <c r="D26" s="106">
        <v>831</v>
      </c>
      <c r="E26" s="106">
        <v>730</v>
      </c>
      <c r="F26" s="106">
        <v>583</v>
      </c>
      <c r="G26" s="106">
        <v>479</v>
      </c>
      <c r="H26" s="106">
        <v>388</v>
      </c>
      <c r="I26" s="106">
        <v>398</v>
      </c>
      <c r="J26" s="106">
        <v>385</v>
      </c>
      <c r="K26" s="106">
        <v>429</v>
      </c>
      <c r="L26" s="106">
        <v>456</v>
      </c>
    </row>
    <row r="27" spans="2:12" x14ac:dyDescent="0.2">
      <c r="B27" s="105" t="s">
        <v>420</v>
      </c>
      <c r="C27" s="106">
        <v>2112</v>
      </c>
      <c r="D27" s="106">
        <v>1959</v>
      </c>
      <c r="E27" s="106">
        <v>1687</v>
      </c>
      <c r="F27" s="106">
        <v>1583</v>
      </c>
      <c r="G27" s="106">
        <v>1503</v>
      </c>
      <c r="H27" s="106">
        <v>1386</v>
      </c>
      <c r="I27" s="106">
        <v>1345</v>
      </c>
      <c r="J27" s="106">
        <v>1296</v>
      </c>
      <c r="K27" s="106">
        <v>1183</v>
      </c>
      <c r="L27" s="106">
        <v>1200</v>
      </c>
    </row>
    <row r="28" spans="2:12" x14ac:dyDescent="0.2">
      <c r="B28" s="105" t="s">
        <v>421</v>
      </c>
      <c r="C28" s="106">
        <v>676</v>
      </c>
      <c r="D28" s="106">
        <v>690</v>
      </c>
      <c r="E28" s="106">
        <v>727</v>
      </c>
      <c r="F28" s="106">
        <v>733</v>
      </c>
      <c r="G28" s="106">
        <v>745</v>
      </c>
      <c r="H28" s="106">
        <v>761</v>
      </c>
      <c r="I28" s="106">
        <v>790</v>
      </c>
      <c r="J28" s="106">
        <v>848</v>
      </c>
      <c r="K28" s="106">
        <v>736</v>
      </c>
      <c r="L28" s="106">
        <v>786</v>
      </c>
    </row>
    <row r="29" spans="2:12" x14ac:dyDescent="0.2">
      <c r="B29" s="105" t="s">
        <v>422</v>
      </c>
      <c r="C29" s="106">
        <v>4544</v>
      </c>
      <c r="D29" s="106">
        <v>3299</v>
      </c>
      <c r="E29" s="106">
        <v>2607</v>
      </c>
      <c r="F29" s="106">
        <v>2265</v>
      </c>
      <c r="G29" s="106">
        <v>1846</v>
      </c>
      <c r="H29" s="106">
        <v>1838</v>
      </c>
      <c r="I29" s="106">
        <v>1916</v>
      </c>
      <c r="J29" s="106">
        <v>2080</v>
      </c>
      <c r="K29" s="106">
        <v>1924</v>
      </c>
      <c r="L29" s="106">
        <v>2348</v>
      </c>
    </row>
    <row r="30" spans="2:12" x14ac:dyDescent="0.2">
      <c r="B30" s="105" t="s">
        <v>423</v>
      </c>
      <c r="C30" s="106">
        <v>6443</v>
      </c>
      <c r="D30" s="106">
        <v>6523</v>
      </c>
      <c r="E30" s="106">
        <v>6315</v>
      </c>
      <c r="F30" s="106">
        <v>6261</v>
      </c>
      <c r="G30" s="106">
        <v>6169</v>
      </c>
      <c r="H30" s="106">
        <v>5811</v>
      </c>
      <c r="I30" s="106">
        <v>5366</v>
      </c>
      <c r="J30" s="106">
        <v>5345</v>
      </c>
      <c r="K30" s="106">
        <v>4864</v>
      </c>
      <c r="L30" s="106">
        <v>4592</v>
      </c>
    </row>
    <row r="31" spans="2:12" x14ac:dyDescent="0.2">
      <c r="B31" s="105" t="s">
        <v>424</v>
      </c>
      <c r="C31" s="106">
        <v>0</v>
      </c>
      <c r="D31" s="106">
        <v>0</v>
      </c>
      <c r="E31" s="106">
        <v>0</v>
      </c>
      <c r="F31" s="106">
        <v>0</v>
      </c>
      <c r="G31" s="106">
        <v>0</v>
      </c>
      <c r="H31" s="106">
        <v>0</v>
      </c>
      <c r="I31" s="106">
        <v>0</v>
      </c>
      <c r="J31" s="106">
        <v>0</v>
      </c>
      <c r="K31" s="106">
        <v>3</v>
      </c>
      <c r="L31" s="106">
        <v>1</v>
      </c>
    </row>
    <row r="32" spans="2:12" x14ac:dyDescent="0.2">
      <c r="B32" s="105" t="s">
        <v>425</v>
      </c>
      <c r="C32" s="106">
        <v>0</v>
      </c>
      <c r="D32" s="106">
        <v>0</v>
      </c>
      <c r="E32" s="106">
        <v>0</v>
      </c>
      <c r="F32" s="106">
        <v>0</v>
      </c>
      <c r="G32" s="106">
        <v>0</v>
      </c>
      <c r="H32" s="106">
        <v>0</v>
      </c>
      <c r="I32" s="106">
        <v>0</v>
      </c>
      <c r="J32" s="106">
        <v>0</v>
      </c>
      <c r="K32" s="106">
        <v>153</v>
      </c>
      <c r="L32" s="106">
        <v>137</v>
      </c>
    </row>
    <row r="33" spans="2:13" x14ac:dyDescent="0.2">
      <c r="B33" s="105" t="s">
        <v>426</v>
      </c>
      <c r="C33" s="106">
        <v>2812</v>
      </c>
      <c r="D33" s="106">
        <v>2910</v>
      </c>
      <c r="E33" s="106">
        <v>2948</v>
      </c>
      <c r="F33" s="106">
        <v>2982</v>
      </c>
      <c r="G33" s="106">
        <v>2918</v>
      </c>
      <c r="H33" s="106">
        <v>2818</v>
      </c>
      <c r="I33" s="106">
        <v>2611</v>
      </c>
      <c r="J33" s="106">
        <v>2411</v>
      </c>
      <c r="K33" s="106">
        <v>2191</v>
      </c>
      <c r="L33" s="106">
        <v>1974</v>
      </c>
      <c r="M33" s="60"/>
    </row>
    <row r="34" spans="2:13" x14ac:dyDescent="0.2">
      <c r="B34" s="105" t="s">
        <v>427</v>
      </c>
      <c r="C34" s="106">
        <v>3457</v>
      </c>
      <c r="D34" s="106">
        <v>3797</v>
      </c>
      <c r="E34" s="106">
        <v>3849</v>
      </c>
      <c r="F34" s="106">
        <v>3596</v>
      </c>
      <c r="G34" s="106">
        <v>3832</v>
      </c>
      <c r="H34" s="106">
        <v>3993</v>
      </c>
      <c r="I34" s="106">
        <v>3954</v>
      </c>
      <c r="J34" s="106">
        <v>3858</v>
      </c>
      <c r="K34" s="106">
        <v>3970</v>
      </c>
      <c r="L34" s="106">
        <v>3847</v>
      </c>
      <c r="M34" s="60"/>
    </row>
    <row r="35" spans="2:13" x14ac:dyDescent="0.2">
      <c r="B35" s="105" t="s">
        <v>428</v>
      </c>
      <c r="C35" s="106">
        <v>5835</v>
      </c>
      <c r="D35" s="106">
        <v>6100</v>
      </c>
      <c r="E35" s="106">
        <v>6263</v>
      </c>
      <c r="F35" s="106">
        <v>6210</v>
      </c>
      <c r="G35" s="106">
        <v>6069</v>
      </c>
      <c r="H35" s="106">
        <v>5701</v>
      </c>
      <c r="I35" s="106">
        <v>5343</v>
      </c>
      <c r="J35" s="106">
        <v>5123</v>
      </c>
      <c r="K35" s="106">
        <v>4844</v>
      </c>
      <c r="L35" s="106">
        <v>4856</v>
      </c>
      <c r="M35" s="60"/>
    </row>
    <row r="36" spans="2:13" x14ac:dyDescent="0.2">
      <c r="B36" s="105" t="s">
        <v>429</v>
      </c>
      <c r="C36" s="106">
        <v>2417</v>
      </c>
      <c r="D36" s="106">
        <v>2691</v>
      </c>
      <c r="E36" s="106">
        <v>2874</v>
      </c>
      <c r="F36" s="106">
        <v>3073</v>
      </c>
      <c r="G36" s="106">
        <v>3323</v>
      </c>
      <c r="H36" s="106">
        <v>3456</v>
      </c>
      <c r="I36" s="106">
        <v>3456</v>
      </c>
      <c r="J36" s="106">
        <v>3273</v>
      </c>
      <c r="K36" s="106">
        <v>3243</v>
      </c>
      <c r="L36" s="106">
        <v>3113</v>
      </c>
      <c r="M36" s="60"/>
    </row>
    <row r="37" spans="2:13" x14ac:dyDescent="0.2">
      <c r="B37" s="105" t="s">
        <v>430</v>
      </c>
      <c r="C37" s="106">
        <v>259</v>
      </c>
      <c r="D37" s="106">
        <v>262</v>
      </c>
      <c r="E37" s="106">
        <v>298</v>
      </c>
      <c r="F37" s="106">
        <v>247</v>
      </c>
      <c r="G37" s="106">
        <v>248</v>
      </c>
      <c r="H37" s="106">
        <v>228</v>
      </c>
      <c r="I37" s="106">
        <v>188</v>
      </c>
      <c r="J37" s="106">
        <v>194</v>
      </c>
      <c r="K37" s="106">
        <v>0</v>
      </c>
      <c r="L37" s="106">
        <v>0</v>
      </c>
      <c r="M37" s="60"/>
    </row>
    <row r="38" spans="2:13" x14ac:dyDescent="0.2">
      <c r="B38" s="105" t="s">
        <v>431</v>
      </c>
      <c r="C38" s="106">
        <v>0</v>
      </c>
      <c r="D38" s="106">
        <v>0</v>
      </c>
      <c r="E38" s="106">
        <v>0</v>
      </c>
      <c r="F38" s="106">
        <v>0</v>
      </c>
      <c r="G38" s="106">
        <v>0</v>
      </c>
      <c r="H38" s="106">
        <v>0</v>
      </c>
      <c r="I38" s="106">
        <v>0</v>
      </c>
      <c r="J38" s="106">
        <v>44</v>
      </c>
      <c r="K38" s="106">
        <v>82</v>
      </c>
      <c r="L38" s="106">
        <v>0</v>
      </c>
      <c r="M38" s="60"/>
    </row>
    <row r="39" spans="2:13" x14ac:dyDescent="0.2">
      <c r="B39" s="105" t="s">
        <v>432</v>
      </c>
      <c r="C39" s="106">
        <v>13</v>
      </c>
      <c r="D39" s="106">
        <v>11</v>
      </c>
      <c r="E39" s="106">
        <v>19</v>
      </c>
      <c r="F39" s="106">
        <v>13</v>
      </c>
      <c r="G39" s="106">
        <v>17</v>
      </c>
      <c r="H39" s="106">
        <v>16</v>
      </c>
      <c r="I39" s="106">
        <v>13</v>
      </c>
      <c r="J39" s="106">
        <v>11</v>
      </c>
      <c r="K39" s="106">
        <v>15</v>
      </c>
      <c r="L39" s="106">
        <v>14</v>
      </c>
      <c r="M39" s="60"/>
    </row>
    <row r="40" spans="2:13" x14ac:dyDescent="0.2">
      <c r="B40" s="105" t="s">
        <v>433</v>
      </c>
      <c r="C40" s="106">
        <v>7118</v>
      </c>
      <c r="D40" s="106">
        <v>6501</v>
      </c>
      <c r="E40" s="106">
        <v>6423</v>
      </c>
      <c r="F40" s="106">
        <v>6311</v>
      </c>
      <c r="G40" s="106">
        <v>5896</v>
      </c>
      <c r="H40" s="106">
        <v>5446</v>
      </c>
      <c r="I40" s="106">
        <v>5064</v>
      </c>
      <c r="J40" s="106">
        <v>4811</v>
      </c>
      <c r="K40" s="106">
        <v>4320</v>
      </c>
      <c r="L40" s="106">
        <v>4052</v>
      </c>
      <c r="M40" s="60"/>
    </row>
    <row r="41" spans="2:13" x14ac:dyDescent="0.2">
      <c r="B41" s="105" t="s">
        <v>434</v>
      </c>
      <c r="C41" s="106">
        <v>11501</v>
      </c>
      <c r="D41" s="106">
        <v>11400</v>
      </c>
      <c r="E41" s="106">
        <v>10834</v>
      </c>
      <c r="F41" s="106">
        <v>10224</v>
      </c>
      <c r="G41" s="106">
        <v>8821</v>
      </c>
      <c r="H41" s="106">
        <v>8430</v>
      </c>
      <c r="I41" s="106">
        <v>7862</v>
      </c>
      <c r="J41" s="106">
        <v>6811</v>
      </c>
      <c r="K41" s="106">
        <v>6518</v>
      </c>
      <c r="L41" s="106">
        <v>6213</v>
      </c>
      <c r="M41" s="64"/>
    </row>
    <row r="42" spans="2:13" x14ac:dyDescent="0.2">
      <c r="B42" s="105" t="s">
        <v>435</v>
      </c>
      <c r="C42" s="106">
        <v>5991</v>
      </c>
      <c r="D42" s="106">
        <v>5751</v>
      </c>
      <c r="E42" s="106">
        <v>5368</v>
      </c>
      <c r="F42" s="106">
        <v>5094</v>
      </c>
      <c r="G42" s="106">
        <v>4737</v>
      </c>
      <c r="H42" s="106">
        <v>4230</v>
      </c>
      <c r="I42" s="106">
        <v>4137</v>
      </c>
      <c r="J42" s="106">
        <v>4109</v>
      </c>
      <c r="K42" s="106">
        <v>4081</v>
      </c>
      <c r="L42" s="106">
        <v>4062</v>
      </c>
      <c r="M42" s="60"/>
    </row>
    <row r="43" spans="2:13" x14ac:dyDescent="0.2">
      <c r="B43" s="20" t="s">
        <v>27</v>
      </c>
      <c r="C43" s="21">
        <f>SUBTOTAL(109,'Enrollment By Major Trend'!$C$5:$C$42)</f>
        <v>119513</v>
      </c>
      <c r="D43" s="21">
        <f>SUBTOTAL(109,'Enrollment By Major Trend'!$D$5:$D$42)</f>
        <v>118224</v>
      </c>
      <c r="E43" s="21">
        <f>SUBTOTAL(109,'Enrollment By Major Trend'!$E$5:$E$42)</f>
        <v>114471</v>
      </c>
      <c r="F43" s="21">
        <f>SUBTOTAL(109,'Enrollment By Major Trend'!$F$5:$F$42)</f>
        <v>112028</v>
      </c>
      <c r="G43" s="21">
        <f>SUBTOTAL(109,'Enrollment By Major Trend'!$G$5:$G$42)</f>
        <v>109606</v>
      </c>
      <c r="H43" s="21">
        <f>SUBTOTAL(109,'Enrollment By Major Trend'!$H$5:$H$42)</f>
        <v>107126</v>
      </c>
      <c r="I43" s="21">
        <f>SUBTOTAL(109,'Enrollment By Major Trend'!$I$5:$I$42)</f>
        <v>104777</v>
      </c>
      <c r="J43" s="21">
        <f>SUBTOTAL(109,'Enrollment By Major Trend'!$J$5:$J$42)</f>
        <v>102301</v>
      </c>
      <c r="K43" s="21">
        <f>SUBTOTAL(109,'Enrollment By Major Trend'!$K$5:$K$42)</f>
        <v>98094</v>
      </c>
      <c r="L43" s="21">
        <f>SUBTOTAL(109,'Enrollment By Major Trend'!$L$5:$L$42)</f>
        <v>95494</v>
      </c>
      <c r="M43" s="60"/>
    </row>
    <row r="44" spans="2:13" x14ac:dyDescent="0.2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60"/>
    </row>
    <row r="49" spans="2:13" ht="15" x14ac:dyDescent="0.2">
      <c r="B49" s="138" t="str">
        <f>CONCATENATE("Total Number of Graduate Enrollments by Major* ",  IF(RIGHT(Parameters!B1,1) = "1","Fall ", "Spring "),IF(RIGHT(Parameters!B1,1)  = "1",LEFT(Parameters!B1,4) -9, LEFT(Parameters!B1,4)-8 ),"-",IF(RIGHT(Parameters!B1,1)  = "1",LEFT(Parameters!B1,4), LEFT(Parameters!B1,4)+1 ))</f>
        <v>Total Number of Graduate Enrollments by Major* Fall 2010-2019</v>
      </c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64"/>
    </row>
    <row r="50" spans="2:13" ht="30.95" customHeight="1" x14ac:dyDescent="0.2">
      <c r="B50" s="53" t="s">
        <v>397</v>
      </c>
      <c r="C50" s="53" t="str">
        <f>CONCATENATE(IF(RIGHT(Parameters!B1,1) = "1","Fall ", "Spring "),IF(RIGHT(Parameters!B1,1) = "1",LEFT(Parameters!B1,4) -9, LEFT(Parameters!B1,4) - 8))</f>
        <v>Fall 2010</v>
      </c>
      <c r="D50" s="53" t="str">
        <f>CONCATENATE(IF(RIGHT(Parameters!B1,1) = "1","Fall ", "Spring "),IF(RIGHT(Parameters!B1,1) = "1",LEFT(Parameters!B1,4) -8, LEFT(Parameters!B1,4) - 7))</f>
        <v>Fall 2011</v>
      </c>
      <c r="E50" s="53" t="str">
        <f>CONCATENATE(IF(RIGHT(Parameters!B1,1) = "1","Fall ", "Spring "),IF(RIGHT(Parameters!B1,1) = "1",LEFT(Parameters!B1,4) -7, LEFT(Parameters!B1,4) - 6))</f>
        <v>Fall 2012</v>
      </c>
      <c r="F50" s="53" t="str">
        <f>CONCATENATE(IF(RIGHT(Parameters!B1,1) = "1","Fall ", "Spring "),IF(RIGHT(Parameters!B1,1) = "1",LEFT(Parameters!B1,4) -6, LEFT(Parameters!B1,4) - 5))</f>
        <v>Fall 2013</v>
      </c>
      <c r="G50" s="53" t="str">
        <f>CONCATENATE(IF(RIGHT(Parameters!B1,1) = "1","Fall ", "Spring "),IF(RIGHT(Parameters!B1,1) = "1",LEFT(Parameters!B1,4) -5, LEFT(Parameters!B1,4) - 4))</f>
        <v>Fall 2014</v>
      </c>
      <c r="H50" s="53" t="str">
        <f>CONCATENATE(IF(RIGHT(Parameters!B1,1) = "1","Fall ", "Spring "),IF(RIGHT(Parameters!B1,1) = "1",LEFT(Parameters!B1,4) -4, LEFT(Parameters!B1,4) - 3))</f>
        <v>Fall 2015</v>
      </c>
      <c r="I50" s="53" t="str">
        <f>CONCATENATE(IF(RIGHT(Parameters!B1,1) = "1","Fall ", "Spring "),IF(RIGHT(Parameters!B1,1) = "1",LEFT(Parameters!B1,4) -3, LEFT(Parameters!B1,4) -2 ))</f>
        <v>Fall 2016</v>
      </c>
      <c r="J50" s="53" t="str">
        <f>CONCATENATE(IF(RIGHT(Parameters!B1,1) = "1","Fall ", "Spring "),IF(RIGHT(Parameters!B1,1) = "1",LEFT(Parameters!B1,4) -2, LEFT(Parameters!B1,4) -1 ))</f>
        <v>Fall 2017</v>
      </c>
      <c r="K50" s="53" t="str">
        <f>CONCATENATE(IF(RIGHT(Parameters!B1,1) = "1","Fall ", "Spring "),IF(RIGHT(Parameters!B1,1) = "1",LEFT(Parameters!B1,4) -1, LEFT(Parameters!B1,4)  ))</f>
        <v>Fall 2018</v>
      </c>
      <c r="L50" s="53" t="str">
        <f>CONCATENATE(IF(RIGHT(Parameters!B1,1) = "1","Fall ", "Spring "),IF(RIGHT(Parameters!B1,1) = "1",LEFT(Parameters!B1,4), LEFT(Parameters!B1,4) + 1))</f>
        <v>Fall 2019</v>
      </c>
      <c r="M50" s="60"/>
    </row>
    <row r="51" spans="2:13" ht="15.75" hidden="1" customHeight="1" thickBot="1" x14ac:dyDescent="0.25">
      <c r="B51" s="122" t="s">
        <v>397</v>
      </c>
      <c r="C51" s="64" t="s">
        <v>3</v>
      </c>
      <c r="D51" s="64" t="s">
        <v>4</v>
      </c>
      <c r="E51" s="64" t="s">
        <v>5</v>
      </c>
      <c r="F51" s="64" t="s">
        <v>6</v>
      </c>
      <c r="G51" s="64" t="s">
        <v>7</v>
      </c>
      <c r="H51" s="64" t="s">
        <v>8</v>
      </c>
      <c r="I51" s="64" t="s">
        <v>9</v>
      </c>
      <c r="J51" s="64" t="s">
        <v>10</v>
      </c>
      <c r="K51" s="64" t="s">
        <v>11</v>
      </c>
      <c r="L51" s="123" t="s">
        <v>12</v>
      </c>
      <c r="M51" s="60"/>
    </row>
    <row r="52" spans="2:13" x14ac:dyDescent="0.2">
      <c r="B52" s="105" t="s">
        <v>399</v>
      </c>
      <c r="C52" s="106">
        <v>0</v>
      </c>
      <c r="D52" s="106">
        <v>0</v>
      </c>
      <c r="E52" s="106">
        <v>1</v>
      </c>
      <c r="F52" s="106">
        <v>3</v>
      </c>
      <c r="G52" s="106">
        <v>1</v>
      </c>
      <c r="H52" s="106">
        <v>0</v>
      </c>
      <c r="I52" s="106">
        <v>1</v>
      </c>
      <c r="J52" s="106">
        <v>6</v>
      </c>
      <c r="K52" s="106">
        <v>11</v>
      </c>
      <c r="L52" s="106">
        <v>12</v>
      </c>
      <c r="M52" s="60"/>
    </row>
    <row r="53" spans="2:13" x14ac:dyDescent="0.2">
      <c r="B53" s="105" t="s">
        <v>401</v>
      </c>
      <c r="C53" s="106">
        <v>190</v>
      </c>
      <c r="D53" s="106">
        <v>160</v>
      </c>
      <c r="E53" s="106">
        <v>148</v>
      </c>
      <c r="F53" s="106">
        <v>139</v>
      </c>
      <c r="G53" s="106">
        <v>115</v>
      </c>
      <c r="H53" s="106">
        <v>123</v>
      </c>
      <c r="I53" s="106">
        <v>135</v>
      </c>
      <c r="J53" s="106">
        <v>105</v>
      </c>
      <c r="K53" s="106">
        <v>115</v>
      </c>
      <c r="L53" s="106">
        <v>124</v>
      </c>
      <c r="M53" s="60"/>
    </row>
    <row r="54" spans="2:13" x14ac:dyDescent="0.2">
      <c r="B54" s="105" t="s">
        <v>402</v>
      </c>
      <c r="C54" s="106">
        <v>1041</v>
      </c>
      <c r="D54" s="106">
        <v>982</v>
      </c>
      <c r="E54" s="106">
        <v>1131</v>
      </c>
      <c r="F54" s="106">
        <v>1122</v>
      </c>
      <c r="G54" s="106">
        <v>1198</v>
      </c>
      <c r="H54" s="106">
        <v>1288</v>
      </c>
      <c r="I54" s="106">
        <v>1471</v>
      </c>
      <c r="J54" s="106">
        <v>1557</v>
      </c>
      <c r="K54" s="106">
        <v>1710</v>
      </c>
      <c r="L54" s="106">
        <v>1749</v>
      </c>
      <c r="M54" s="60"/>
    </row>
    <row r="55" spans="2:13" x14ac:dyDescent="0.2">
      <c r="B55" s="105" t="s">
        <v>404</v>
      </c>
      <c r="C55" s="106">
        <v>190</v>
      </c>
      <c r="D55" s="106">
        <v>202</v>
      </c>
      <c r="E55" s="106">
        <v>200</v>
      </c>
      <c r="F55" s="106">
        <v>168</v>
      </c>
      <c r="G55" s="106">
        <v>148</v>
      </c>
      <c r="H55" s="106">
        <v>143</v>
      </c>
      <c r="I55" s="106">
        <v>131</v>
      </c>
      <c r="J55" s="106">
        <v>120</v>
      </c>
      <c r="K55" s="106">
        <v>106</v>
      </c>
      <c r="L55" s="106">
        <v>121</v>
      </c>
      <c r="M55" s="60"/>
    </row>
    <row r="56" spans="2:13" x14ac:dyDescent="0.2">
      <c r="B56" s="105" t="s">
        <v>405</v>
      </c>
      <c r="C56" s="106">
        <v>78</v>
      </c>
      <c r="D56" s="106">
        <v>72</v>
      </c>
      <c r="E56" s="106">
        <v>76</v>
      </c>
      <c r="F56" s="106">
        <v>85</v>
      </c>
      <c r="G56" s="106">
        <v>116</v>
      </c>
      <c r="H56" s="106">
        <v>140</v>
      </c>
      <c r="I56" s="106">
        <v>145</v>
      </c>
      <c r="J56" s="106">
        <v>147</v>
      </c>
      <c r="K56" s="106">
        <v>143</v>
      </c>
      <c r="L56" s="106">
        <v>142</v>
      </c>
      <c r="M56" s="60"/>
    </row>
    <row r="57" spans="2:13" x14ac:dyDescent="0.2">
      <c r="B57" s="105" t="s">
        <v>406</v>
      </c>
      <c r="C57" s="106">
        <v>5866</v>
      </c>
      <c r="D57" s="106">
        <v>5238</v>
      </c>
      <c r="E57" s="106">
        <v>4487</v>
      </c>
      <c r="F57" s="106">
        <v>4322</v>
      </c>
      <c r="G57" s="106">
        <v>4358</v>
      </c>
      <c r="H57" s="106">
        <v>4559</v>
      </c>
      <c r="I57" s="106">
        <v>4834</v>
      </c>
      <c r="J57" s="106">
        <v>5093</v>
      </c>
      <c r="K57" s="106">
        <v>5175</v>
      </c>
      <c r="L57" s="106">
        <v>5115</v>
      </c>
      <c r="M57" s="60"/>
    </row>
    <row r="58" spans="2:13" x14ac:dyDescent="0.2">
      <c r="B58" s="105" t="s">
        <v>408</v>
      </c>
      <c r="C58" s="106">
        <v>148</v>
      </c>
      <c r="D58" s="106">
        <v>131</v>
      </c>
      <c r="E58" s="106">
        <v>109</v>
      </c>
      <c r="F58" s="106">
        <v>142</v>
      </c>
      <c r="G58" s="106">
        <v>141</v>
      </c>
      <c r="H58" s="106">
        <v>168</v>
      </c>
      <c r="I58" s="106">
        <v>165</v>
      </c>
      <c r="J58" s="106">
        <v>136</v>
      </c>
      <c r="K58" s="106">
        <v>122</v>
      </c>
      <c r="L58" s="106">
        <v>133</v>
      </c>
      <c r="M58" s="60"/>
    </row>
    <row r="59" spans="2:13" x14ac:dyDescent="0.2">
      <c r="B59" s="105" t="s">
        <v>409</v>
      </c>
      <c r="C59" s="106">
        <v>599</v>
      </c>
      <c r="D59" s="106">
        <v>578</v>
      </c>
      <c r="E59" s="106">
        <v>517</v>
      </c>
      <c r="F59" s="106">
        <v>511</v>
      </c>
      <c r="G59" s="106">
        <v>473</v>
      </c>
      <c r="H59" s="106">
        <v>476</v>
      </c>
      <c r="I59" s="106">
        <v>493</v>
      </c>
      <c r="J59" s="106">
        <v>477</v>
      </c>
      <c r="K59" s="106">
        <v>455</v>
      </c>
      <c r="L59" s="106">
        <v>445</v>
      </c>
      <c r="M59" s="60"/>
    </row>
    <row r="60" spans="2:13" x14ac:dyDescent="0.2">
      <c r="B60" s="105" t="s">
        <v>410</v>
      </c>
      <c r="C60" s="106">
        <v>42</v>
      </c>
      <c r="D60" s="106">
        <v>57</v>
      </c>
      <c r="E60" s="106">
        <v>43</v>
      </c>
      <c r="F60" s="106">
        <v>66</v>
      </c>
      <c r="G60" s="106">
        <v>70</v>
      </c>
      <c r="H60" s="106">
        <v>67</v>
      </c>
      <c r="I60" s="106">
        <v>62</v>
      </c>
      <c r="J60" s="106">
        <v>51</v>
      </c>
      <c r="K60" s="106">
        <v>43</v>
      </c>
      <c r="L60" s="106">
        <v>50</v>
      </c>
      <c r="M60" s="60"/>
    </row>
    <row r="61" spans="2:13" x14ac:dyDescent="0.2">
      <c r="B61" s="105" t="s">
        <v>411</v>
      </c>
      <c r="C61" s="106">
        <v>24</v>
      </c>
      <c r="D61" s="106">
        <v>20</v>
      </c>
      <c r="E61" s="106">
        <v>21</v>
      </c>
      <c r="F61" s="106">
        <v>31</v>
      </c>
      <c r="G61" s="106">
        <v>34</v>
      </c>
      <c r="H61" s="106">
        <v>41</v>
      </c>
      <c r="I61" s="106">
        <v>95</v>
      </c>
      <c r="J61" s="106">
        <v>124</v>
      </c>
      <c r="K61" s="106">
        <v>111</v>
      </c>
      <c r="L61" s="106">
        <v>120</v>
      </c>
      <c r="M61" s="60"/>
    </row>
    <row r="62" spans="2:13" x14ac:dyDescent="0.2">
      <c r="B62" s="105" t="s">
        <v>412</v>
      </c>
      <c r="C62" s="106">
        <v>35</v>
      </c>
      <c r="D62" s="106">
        <v>23</v>
      </c>
      <c r="E62" s="106">
        <v>41</v>
      </c>
      <c r="F62" s="106">
        <v>42</v>
      </c>
      <c r="G62" s="106">
        <v>39</v>
      </c>
      <c r="H62" s="106">
        <v>42</v>
      </c>
      <c r="I62" s="106">
        <v>48</v>
      </c>
      <c r="J62" s="106">
        <v>50</v>
      </c>
      <c r="K62" s="106">
        <v>49</v>
      </c>
      <c r="L62" s="106">
        <v>51</v>
      </c>
      <c r="M62" s="60"/>
    </row>
    <row r="63" spans="2:13" x14ac:dyDescent="0.2">
      <c r="B63" s="105" t="s">
        <v>413</v>
      </c>
      <c r="C63" s="106">
        <v>1552</v>
      </c>
      <c r="D63" s="106">
        <v>1721</v>
      </c>
      <c r="E63" s="106">
        <v>1775</v>
      </c>
      <c r="F63" s="106">
        <v>1860</v>
      </c>
      <c r="G63" s="106">
        <v>1934</v>
      </c>
      <c r="H63" s="106">
        <v>2261</v>
      </c>
      <c r="I63" s="106">
        <v>2362</v>
      </c>
      <c r="J63" s="106">
        <v>2496</v>
      </c>
      <c r="K63" s="106">
        <v>2565</v>
      </c>
      <c r="L63" s="106">
        <v>2675</v>
      </c>
      <c r="M63" s="60"/>
    </row>
    <row r="64" spans="2:13" x14ac:dyDescent="0.2">
      <c r="B64" s="105" t="s">
        <v>414</v>
      </c>
      <c r="C64" s="106">
        <v>198</v>
      </c>
      <c r="D64" s="106">
        <v>193</v>
      </c>
      <c r="E64" s="106">
        <v>174</v>
      </c>
      <c r="F64" s="106">
        <v>163</v>
      </c>
      <c r="G64" s="106">
        <v>158</v>
      </c>
      <c r="H64" s="106">
        <v>160</v>
      </c>
      <c r="I64" s="106">
        <v>139</v>
      </c>
      <c r="J64" s="106">
        <v>125</v>
      </c>
      <c r="K64" s="106">
        <v>115</v>
      </c>
      <c r="L64" s="106">
        <v>116</v>
      </c>
      <c r="M64" s="60"/>
    </row>
    <row r="65" spans="2:13" x14ac:dyDescent="0.2">
      <c r="B65" s="105" t="s">
        <v>415</v>
      </c>
      <c r="C65" s="106">
        <v>0</v>
      </c>
      <c r="D65" s="106">
        <v>0</v>
      </c>
      <c r="E65" s="106">
        <v>0</v>
      </c>
      <c r="F65" s="106">
        <v>1</v>
      </c>
      <c r="G65" s="106">
        <v>1</v>
      </c>
      <c r="H65" s="106">
        <v>4</v>
      </c>
      <c r="I65" s="106">
        <v>3</v>
      </c>
      <c r="J65" s="106">
        <v>0</v>
      </c>
      <c r="K65" s="106">
        <v>0</v>
      </c>
      <c r="L65" s="106">
        <v>0</v>
      </c>
      <c r="M65" s="60"/>
    </row>
    <row r="66" spans="2:13" x14ac:dyDescent="0.2">
      <c r="B66" s="105" t="s">
        <v>416</v>
      </c>
      <c r="C66" s="106">
        <v>164</v>
      </c>
      <c r="D66" s="106">
        <v>154</v>
      </c>
      <c r="E66" s="106">
        <v>130</v>
      </c>
      <c r="F66" s="106">
        <v>123</v>
      </c>
      <c r="G66" s="106">
        <v>101</v>
      </c>
      <c r="H66" s="106">
        <v>76</v>
      </c>
      <c r="I66" s="106">
        <v>64</v>
      </c>
      <c r="J66" s="106">
        <v>62</v>
      </c>
      <c r="K66" s="106">
        <v>65</v>
      </c>
      <c r="L66" s="106">
        <v>65</v>
      </c>
      <c r="M66" s="60"/>
    </row>
    <row r="67" spans="2:13" x14ac:dyDescent="0.2">
      <c r="B67" s="105" t="s">
        <v>418</v>
      </c>
      <c r="C67" s="106">
        <v>37</v>
      </c>
      <c r="D67" s="106">
        <v>22</v>
      </c>
      <c r="E67" s="106">
        <v>3</v>
      </c>
      <c r="F67" s="106">
        <v>0</v>
      </c>
      <c r="G67" s="106">
        <v>0</v>
      </c>
      <c r="H67" s="106">
        <v>0</v>
      </c>
      <c r="I67" s="106">
        <v>0</v>
      </c>
      <c r="J67" s="106">
        <v>0</v>
      </c>
      <c r="K67" s="106">
        <v>0</v>
      </c>
      <c r="L67" s="106">
        <v>0</v>
      </c>
      <c r="M67" s="60"/>
    </row>
    <row r="68" spans="2:13" x14ac:dyDescent="0.2">
      <c r="B68" s="105" t="s">
        <v>419</v>
      </c>
      <c r="C68" s="106">
        <v>588</v>
      </c>
      <c r="D68" s="106">
        <v>694</v>
      </c>
      <c r="E68" s="106">
        <v>615</v>
      </c>
      <c r="F68" s="106">
        <v>499</v>
      </c>
      <c r="G68" s="106">
        <v>425</v>
      </c>
      <c r="H68" s="106">
        <v>353</v>
      </c>
      <c r="I68" s="106">
        <v>371</v>
      </c>
      <c r="J68" s="106">
        <v>360</v>
      </c>
      <c r="K68" s="106">
        <v>400</v>
      </c>
      <c r="L68" s="106">
        <v>424</v>
      </c>
      <c r="M68" s="60"/>
    </row>
    <row r="69" spans="2:13" x14ac:dyDescent="0.2">
      <c r="B69" s="105" t="s">
        <v>420</v>
      </c>
      <c r="C69" s="106">
        <v>213</v>
      </c>
      <c r="D69" s="106">
        <v>205</v>
      </c>
      <c r="E69" s="106">
        <v>160</v>
      </c>
      <c r="F69" s="106">
        <v>169</v>
      </c>
      <c r="G69" s="106">
        <v>180</v>
      </c>
      <c r="H69" s="106">
        <v>215</v>
      </c>
      <c r="I69" s="106">
        <v>244</v>
      </c>
      <c r="J69" s="106">
        <v>252</v>
      </c>
      <c r="K69" s="106">
        <v>228</v>
      </c>
      <c r="L69" s="106">
        <v>252</v>
      </c>
      <c r="M69" s="60"/>
    </row>
    <row r="70" spans="2:13" x14ac:dyDescent="0.2">
      <c r="B70" s="105" t="s">
        <v>421</v>
      </c>
      <c r="C70" s="106">
        <v>113</v>
      </c>
      <c r="D70" s="106">
        <v>114</v>
      </c>
      <c r="E70" s="106">
        <v>128</v>
      </c>
      <c r="F70" s="106">
        <v>164</v>
      </c>
      <c r="G70" s="106">
        <v>152</v>
      </c>
      <c r="H70" s="106">
        <v>150</v>
      </c>
      <c r="I70" s="106">
        <v>136</v>
      </c>
      <c r="J70" s="106">
        <v>132</v>
      </c>
      <c r="K70" s="106">
        <v>24</v>
      </c>
      <c r="L70" s="106">
        <v>50</v>
      </c>
      <c r="M70" s="60"/>
    </row>
    <row r="71" spans="2:13" x14ac:dyDescent="0.2">
      <c r="B71" s="105" t="s">
        <v>422</v>
      </c>
      <c r="C71" s="106">
        <v>2182</v>
      </c>
      <c r="D71" s="106">
        <v>1429</v>
      </c>
      <c r="E71" s="106">
        <v>964</v>
      </c>
      <c r="F71" s="106">
        <v>606</v>
      </c>
      <c r="G71" s="106">
        <v>499</v>
      </c>
      <c r="H71" s="106">
        <v>393</v>
      </c>
      <c r="I71" s="106">
        <v>398</v>
      </c>
      <c r="J71" s="106">
        <v>423</v>
      </c>
      <c r="K71" s="106">
        <v>279</v>
      </c>
      <c r="L71" s="106">
        <v>273</v>
      </c>
      <c r="M71" s="60"/>
    </row>
    <row r="72" spans="2:13" x14ac:dyDescent="0.2">
      <c r="B72" s="105" t="s">
        <v>423</v>
      </c>
      <c r="C72" s="106">
        <v>924</v>
      </c>
      <c r="D72" s="106">
        <v>968</v>
      </c>
      <c r="E72" s="106">
        <v>994</v>
      </c>
      <c r="F72" s="106">
        <v>969</v>
      </c>
      <c r="G72" s="106">
        <v>1051</v>
      </c>
      <c r="H72" s="106">
        <v>1025</v>
      </c>
      <c r="I72" s="106">
        <v>963</v>
      </c>
      <c r="J72" s="106">
        <v>924</v>
      </c>
      <c r="K72" s="106">
        <v>794</v>
      </c>
      <c r="L72" s="106">
        <v>715</v>
      </c>
      <c r="M72" s="60"/>
    </row>
    <row r="73" spans="2:13" x14ac:dyDescent="0.2">
      <c r="B73" s="105" t="s">
        <v>425</v>
      </c>
      <c r="C73" s="106">
        <v>0</v>
      </c>
      <c r="D73" s="106">
        <v>0</v>
      </c>
      <c r="E73" s="106">
        <v>0</v>
      </c>
      <c r="F73" s="106">
        <v>0</v>
      </c>
      <c r="G73" s="106">
        <v>0</v>
      </c>
      <c r="H73" s="106">
        <v>0</v>
      </c>
      <c r="I73" s="106">
        <v>0</v>
      </c>
      <c r="J73" s="106">
        <v>0</v>
      </c>
      <c r="K73" s="106">
        <v>20</v>
      </c>
      <c r="L73" s="106">
        <v>20</v>
      </c>
      <c r="M73" s="60"/>
    </row>
    <row r="74" spans="2:13" x14ac:dyDescent="0.2">
      <c r="B74" s="105" t="s">
        <v>426</v>
      </c>
      <c r="C74" s="106">
        <v>58</v>
      </c>
      <c r="D74" s="106">
        <v>41</v>
      </c>
      <c r="E74" s="106">
        <v>41</v>
      </c>
      <c r="F74" s="106">
        <v>51</v>
      </c>
      <c r="G74" s="106">
        <v>51</v>
      </c>
      <c r="H74" s="106">
        <v>45</v>
      </c>
      <c r="I74" s="106">
        <v>37</v>
      </c>
      <c r="J74" s="106">
        <v>39</v>
      </c>
      <c r="K74" s="106">
        <v>37</v>
      </c>
      <c r="L74" s="106">
        <v>30</v>
      </c>
      <c r="M74" s="60"/>
    </row>
    <row r="75" spans="2:13" x14ac:dyDescent="0.2">
      <c r="B75" s="105" t="s">
        <v>427</v>
      </c>
      <c r="C75" s="106">
        <v>171</v>
      </c>
      <c r="D75" s="106">
        <v>159</v>
      </c>
      <c r="E75" s="106">
        <v>177</v>
      </c>
      <c r="F75" s="106">
        <v>177</v>
      </c>
      <c r="G75" s="106">
        <v>195</v>
      </c>
      <c r="H75" s="106">
        <v>188</v>
      </c>
      <c r="I75" s="106">
        <v>173</v>
      </c>
      <c r="J75" s="106">
        <v>169</v>
      </c>
      <c r="K75" s="106">
        <v>207</v>
      </c>
      <c r="L75" s="106">
        <v>260</v>
      </c>
      <c r="M75" s="60"/>
    </row>
    <row r="76" spans="2:13" x14ac:dyDescent="0.2">
      <c r="B76" s="105" t="s">
        <v>428</v>
      </c>
      <c r="C76" s="106">
        <v>739</v>
      </c>
      <c r="D76" s="106">
        <v>769</v>
      </c>
      <c r="E76" s="106">
        <v>788</v>
      </c>
      <c r="F76" s="106">
        <v>808</v>
      </c>
      <c r="G76" s="106">
        <v>783</v>
      </c>
      <c r="H76" s="106">
        <v>672</v>
      </c>
      <c r="I76" s="106">
        <v>651</v>
      </c>
      <c r="J76" s="106">
        <v>615</v>
      </c>
      <c r="K76" s="106">
        <v>639</v>
      </c>
      <c r="L76" s="106">
        <v>632</v>
      </c>
      <c r="M76" s="65"/>
    </row>
    <row r="77" spans="2:13" x14ac:dyDescent="0.2">
      <c r="B77" s="105" t="s">
        <v>429</v>
      </c>
      <c r="C77" s="106">
        <v>689</v>
      </c>
      <c r="D77" s="106">
        <v>776</v>
      </c>
      <c r="E77" s="106">
        <v>832</v>
      </c>
      <c r="F77" s="106">
        <v>913</v>
      </c>
      <c r="G77" s="106">
        <v>1062</v>
      </c>
      <c r="H77" s="106">
        <v>1214</v>
      </c>
      <c r="I77" s="106">
        <v>1353</v>
      </c>
      <c r="J77" s="106">
        <v>1346</v>
      </c>
      <c r="K77" s="106">
        <v>1387</v>
      </c>
      <c r="L77" s="106">
        <v>1381</v>
      </c>
      <c r="M77" s="91"/>
    </row>
    <row r="78" spans="2:13" x14ac:dyDescent="0.2">
      <c r="B78" s="105" t="s">
        <v>430</v>
      </c>
      <c r="C78" s="106">
        <v>36</v>
      </c>
      <c r="D78" s="106">
        <v>39</v>
      </c>
      <c r="E78" s="106">
        <v>43</v>
      </c>
      <c r="F78" s="106">
        <v>24</v>
      </c>
      <c r="G78" s="106">
        <v>32</v>
      </c>
      <c r="H78" s="106">
        <v>26</v>
      </c>
      <c r="I78" s="106">
        <v>25</v>
      </c>
      <c r="J78" s="106">
        <v>27</v>
      </c>
      <c r="K78" s="106">
        <v>0</v>
      </c>
      <c r="L78" s="106">
        <v>0</v>
      </c>
      <c r="M78" s="60"/>
    </row>
    <row r="79" spans="2:13" x14ac:dyDescent="0.2">
      <c r="B79" s="105" t="s">
        <v>431</v>
      </c>
      <c r="C79" s="106">
        <v>0</v>
      </c>
      <c r="D79" s="106">
        <v>0</v>
      </c>
      <c r="E79" s="106">
        <v>0</v>
      </c>
      <c r="F79" s="106">
        <v>0</v>
      </c>
      <c r="G79" s="106">
        <v>0</v>
      </c>
      <c r="H79" s="106">
        <v>0</v>
      </c>
      <c r="I79" s="106">
        <v>0</v>
      </c>
      <c r="J79" s="106">
        <v>1</v>
      </c>
      <c r="K79" s="106">
        <v>3</v>
      </c>
      <c r="L79" s="106">
        <v>0</v>
      </c>
      <c r="M79" s="60"/>
    </row>
    <row r="80" spans="2:13" x14ac:dyDescent="0.2">
      <c r="B80" s="107" t="s">
        <v>432</v>
      </c>
      <c r="C80" s="108">
        <v>0</v>
      </c>
      <c r="D80" s="108">
        <v>0</v>
      </c>
      <c r="E80" s="108">
        <v>4</v>
      </c>
      <c r="F80" s="108">
        <v>8</v>
      </c>
      <c r="G80" s="108">
        <v>12</v>
      </c>
      <c r="H80" s="108">
        <v>14</v>
      </c>
      <c r="I80" s="108">
        <v>13</v>
      </c>
      <c r="J80" s="108">
        <v>11</v>
      </c>
      <c r="K80" s="108">
        <v>14</v>
      </c>
      <c r="L80" s="108">
        <v>12</v>
      </c>
      <c r="M80" s="60"/>
    </row>
    <row r="81" spans="2:13" x14ac:dyDescent="0.2">
      <c r="B81" s="124" t="s">
        <v>433</v>
      </c>
      <c r="C81" s="125">
        <v>357</v>
      </c>
      <c r="D81" s="125">
        <v>319</v>
      </c>
      <c r="E81" s="125">
        <v>288</v>
      </c>
      <c r="F81" s="125">
        <v>246</v>
      </c>
      <c r="G81" s="125">
        <v>241</v>
      </c>
      <c r="H81" s="125">
        <v>261</v>
      </c>
      <c r="I81" s="125">
        <v>267</v>
      </c>
      <c r="J81" s="125">
        <v>283</v>
      </c>
      <c r="K81" s="125">
        <v>255</v>
      </c>
      <c r="L81" s="125">
        <v>196</v>
      </c>
      <c r="M81" s="60"/>
    </row>
    <row r="82" spans="2:13" x14ac:dyDescent="0.2">
      <c r="B82" s="27" t="s">
        <v>434</v>
      </c>
      <c r="C82" s="28">
        <v>8</v>
      </c>
      <c r="D82" s="28">
        <v>15</v>
      </c>
      <c r="E82" s="28">
        <v>12</v>
      </c>
      <c r="F82" s="28">
        <v>6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9</v>
      </c>
      <c r="M82" s="60"/>
    </row>
    <row r="83" spans="2:13" x14ac:dyDescent="0.2">
      <c r="B83" s="27" t="s">
        <v>435</v>
      </c>
      <c r="C83" s="28">
        <v>297</v>
      </c>
      <c r="D83" s="28">
        <v>243</v>
      </c>
      <c r="E83" s="28">
        <v>219</v>
      </c>
      <c r="F83" s="28">
        <v>214</v>
      </c>
      <c r="G83" s="28">
        <v>232</v>
      </c>
      <c r="H83" s="28">
        <v>204</v>
      </c>
      <c r="I83" s="28">
        <v>198</v>
      </c>
      <c r="J83" s="28">
        <v>199</v>
      </c>
      <c r="K83" s="28">
        <v>217</v>
      </c>
      <c r="L83" s="28">
        <v>204</v>
      </c>
      <c r="M83" s="60"/>
    </row>
    <row r="84" spans="2:13" x14ac:dyDescent="0.2">
      <c r="B84" s="20" t="s">
        <v>27</v>
      </c>
      <c r="C84" s="21">
        <f>SUBTOTAL(109,'Enrollment By Major Trend'!$C$52:$C$83)</f>
        <v>16539</v>
      </c>
      <c r="D84" s="21">
        <f>SUBTOTAL(109,'Enrollment By Major Trend'!$D$52:$D$83)</f>
        <v>15324</v>
      </c>
      <c r="E84" s="21">
        <f>SUBTOTAL(109,'Enrollment By Major Trend'!$E$52:$E$83)</f>
        <v>14121</v>
      </c>
      <c r="F84" s="21">
        <f>SUBTOTAL(109,'Enrollment By Major Trend'!$F$52:$F$83)</f>
        <v>13632</v>
      </c>
      <c r="G84" s="21">
        <f>SUBTOTAL(109,'Enrollment By Major Trend'!$G$52:$G$83)</f>
        <v>13802</v>
      </c>
      <c r="H84" s="21">
        <f>SUBTOTAL(109,'Enrollment By Major Trend'!$H$52:$H$83)</f>
        <v>14308</v>
      </c>
      <c r="I84" s="21">
        <f>SUBTOTAL(109,'Enrollment By Major Trend'!$I$52:$I$83)</f>
        <v>14977</v>
      </c>
      <c r="J84" s="21">
        <f>SUBTOTAL(109,'Enrollment By Major Trend'!$J$52:$J$83)</f>
        <v>15330</v>
      </c>
      <c r="K84" s="21">
        <f>SUBTOTAL(109,'Enrollment By Major Trend'!$K$52:$K$83)</f>
        <v>15289</v>
      </c>
      <c r="L84" s="21">
        <f>SUBTOTAL(109,'Enrollment By Major Trend'!$L$52:$L$83)</f>
        <v>15376</v>
      </c>
      <c r="M84" s="64"/>
    </row>
    <row r="85" spans="2:13" ht="15" x14ac:dyDescent="0.2">
      <c r="B85" s="55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64"/>
    </row>
    <row r="86" spans="2:13" ht="15" x14ac:dyDescent="0.2">
      <c r="B86" s="55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64"/>
    </row>
    <row r="87" spans="2:13" ht="15" x14ac:dyDescent="0.2">
      <c r="B87" s="55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64"/>
    </row>
    <row r="88" spans="2:13" ht="15" x14ac:dyDescent="0.2">
      <c r="B88" s="55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64"/>
    </row>
    <row r="89" spans="2:13" ht="15" x14ac:dyDescent="0.2">
      <c r="B89" s="138" t="str">
        <f>CONCATENATE("Total Number of Undergraduate Enrollments by Major* ",  IF(RIGHT(Parameters!B1,1) = "1","Fall ", "Spring "),IF(RIGHT(Parameters!B1,1)  = "1",LEFT(Parameters!B1,4) -9, LEFT(Parameters!B1,4)-8 ),"-",IF(RIGHT(Parameters!B1,1)  = "1",LEFT(Parameters!B1,4), LEFT(Parameters!B1,4)+1 ))</f>
        <v>Total Number of Undergraduate Enrollments by Major* Fall 2010-2019</v>
      </c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64"/>
    </row>
    <row r="90" spans="2:13" ht="30.95" customHeight="1" x14ac:dyDescent="0.2">
      <c r="B90" s="52" t="s">
        <v>397</v>
      </c>
      <c r="C90" s="52" t="str">
        <f>CONCATENATE(IF(RIGHT(Parameters!B1,1) = "1","Fall ", "Spring "),IF(RIGHT(Parameters!B1,1) = "1",LEFT(Parameters!B1,4) -9, LEFT(Parameters!B1,4) - 8))</f>
        <v>Fall 2010</v>
      </c>
      <c r="D90" s="52" t="str">
        <f>CONCATENATE(IF(RIGHT(Parameters!B1,1) = "1","Fall ", "Spring "),IF(RIGHT(Parameters!B1,1) = "1",LEFT(Parameters!B1,4) -8, LEFT(Parameters!B1,4) - 7))</f>
        <v>Fall 2011</v>
      </c>
      <c r="E90" s="52" t="str">
        <f>CONCATENATE(IF(RIGHT(Parameters!B1,1) = "1","Fall ", "Spring "),IF(RIGHT(Parameters!B1,1) = "1",LEFT(Parameters!B1,4) -7, LEFT(Parameters!B1,4) - 6))</f>
        <v>Fall 2012</v>
      </c>
      <c r="F90" s="52" t="str">
        <f>CONCATENATE(IF(RIGHT(Parameters!B1,1) = "1","Fall ", "Spring "),IF(RIGHT(Parameters!B1,1) = "1",LEFT(Parameters!B1,4) -6, LEFT(Parameters!B1,4) - 5))</f>
        <v>Fall 2013</v>
      </c>
      <c r="G90" s="52" t="str">
        <f>CONCATENATE(IF(RIGHT(Parameters!B1,1) = "1","Fall ", "Spring "),IF(RIGHT(Parameters!B1,1) = "1",LEFT(Parameters!B1,4) -5, LEFT(Parameters!B1,4) - 4))</f>
        <v>Fall 2014</v>
      </c>
      <c r="H90" s="52" t="str">
        <f>CONCATENATE(IF(RIGHT(Parameters!B1,1) = "1","Fall ", "Spring "),IF(RIGHT(Parameters!B1,1) = "1",LEFT(Parameters!B1,4) -4, LEFT(Parameters!B1,4) - 3))</f>
        <v>Fall 2015</v>
      </c>
      <c r="I90" s="52" t="str">
        <f>CONCATENATE(IF(RIGHT(Parameters!B1,1) = "1","Fall ", "Spring "),IF(RIGHT(Parameters!B1,1) = "1",LEFT(Parameters!B1,4) -3, LEFT(Parameters!B1,4) -2 ))</f>
        <v>Fall 2016</v>
      </c>
      <c r="J90" s="52" t="str">
        <f>CONCATENATE(IF(RIGHT(Parameters!B1,1) = "1","Fall ", "Spring "),IF(RIGHT(Parameters!B1,1) = "1",LEFT(Parameters!B1,4) -2, LEFT(Parameters!B1,4) -1 ))</f>
        <v>Fall 2017</v>
      </c>
      <c r="K90" s="52" t="str">
        <f>CONCATENATE(IF(RIGHT(Parameters!B1,1) = "1","Fall ", "Spring "),IF(RIGHT(Parameters!B1,1) = "1",LEFT(Parameters!B1,4) -1, LEFT(Parameters!B1,4)  ))</f>
        <v>Fall 2018</v>
      </c>
      <c r="L90" s="52" t="str">
        <f>CONCATENATE(IF(RIGHT(Parameters!B1,1) = "1","Fall ", "Spring "),IF(RIGHT(Parameters!B1,1) = "1",LEFT(Parameters!B1,4), LEFT(Parameters!B1,4) + 1))</f>
        <v>Fall 2019</v>
      </c>
      <c r="M90" s="60"/>
    </row>
    <row r="91" spans="2:13" ht="15.75" hidden="1" customHeight="1" thickBot="1" x14ac:dyDescent="0.25">
      <c r="B91" s="122" t="s">
        <v>397</v>
      </c>
      <c r="C91" s="64" t="s">
        <v>3</v>
      </c>
      <c r="D91" s="64" t="s">
        <v>4</v>
      </c>
      <c r="E91" s="64" t="s">
        <v>5</v>
      </c>
      <c r="F91" s="64" t="s">
        <v>6</v>
      </c>
      <c r="G91" s="64" t="s">
        <v>7</v>
      </c>
      <c r="H91" s="64" t="s">
        <v>8</v>
      </c>
      <c r="I91" s="64" t="s">
        <v>9</v>
      </c>
      <c r="J91" s="64" t="s">
        <v>10</v>
      </c>
      <c r="K91" s="64" t="s">
        <v>11</v>
      </c>
      <c r="L91" s="123" t="s">
        <v>12</v>
      </c>
      <c r="M91" s="60"/>
    </row>
    <row r="92" spans="2:13" x14ac:dyDescent="0.2">
      <c r="B92" s="103" t="s">
        <v>398</v>
      </c>
      <c r="C92" s="104">
        <v>0</v>
      </c>
      <c r="D92" s="104">
        <v>0</v>
      </c>
      <c r="E92" s="104">
        <v>0</v>
      </c>
      <c r="F92" s="104">
        <v>0</v>
      </c>
      <c r="G92" s="104">
        <v>0</v>
      </c>
      <c r="H92" s="104">
        <v>0</v>
      </c>
      <c r="I92" s="104">
        <v>0</v>
      </c>
      <c r="J92" s="104">
        <v>0</v>
      </c>
      <c r="K92" s="104">
        <v>13</v>
      </c>
      <c r="L92" s="104">
        <v>0</v>
      </c>
      <c r="M92" s="60"/>
    </row>
    <row r="93" spans="2:13" x14ac:dyDescent="0.2">
      <c r="B93" s="105" t="s">
        <v>399</v>
      </c>
      <c r="C93" s="106">
        <v>36</v>
      </c>
      <c r="D93" s="106">
        <v>36</v>
      </c>
      <c r="E93" s="106">
        <v>47</v>
      </c>
      <c r="F93" s="106">
        <v>45</v>
      </c>
      <c r="G93" s="106">
        <v>46</v>
      </c>
      <c r="H93" s="106">
        <v>47</v>
      </c>
      <c r="I93" s="106">
        <v>43</v>
      </c>
      <c r="J93" s="106">
        <v>65</v>
      </c>
      <c r="K93" s="106">
        <v>84</v>
      </c>
      <c r="L93" s="106">
        <v>76</v>
      </c>
      <c r="M93" s="60"/>
    </row>
    <row r="94" spans="2:13" x14ac:dyDescent="0.2">
      <c r="B94" s="105" t="s">
        <v>400</v>
      </c>
      <c r="C94" s="106">
        <v>117</v>
      </c>
      <c r="D94" s="106">
        <v>120</v>
      </c>
      <c r="E94" s="106">
        <v>122</v>
      </c>
      <c r="F94" s="106">
        <v>148</v>
      </c>
      <c r="G94" s="106">
        <v>146</v>
      </c>
      <c r="H94" s="106">
        <v>131</v>
      </c>
      <c r="I94" s="106">
        <v>117</v>
      </c>
      <c r="J94" s="106">
        <v>114</v>
      </c>
      <c r="K94" s="106">
        <v>102</v>
      </c>
      <c r="L94" s="106">
        <v>89</v>
      </c>
      <c r="M94" s="60"/>
    </row>
    <row r="95" spans="2:13" x14ac:dyDescent="0.2">
      <c r="B95" s="105" t="s">
        <v>401</v>
      </c>
      <c r="C95" s="106">
        <v>4458</v>
      </c>
      <c r="D95" s="106">
        <v>4610</v>
      </c>
      <c r="E95" s="106">
        <v>4771</v>
      </c>
      <c r="F95" s="106">
        <v>4842</v>
      </c>
      <c r="G95" s="106">
        <v>4811</v>
      </c>
      <c r="H95" s="106">
        <v>4821</v>
      </c>
      <c r="I95" s="106">
        <v>4611</v>
      </c>
      <c r="J95" s="106">
        <v>4675</v>
      </c>
      <c r="K95" s="106">
        <v>4495</v>
      </c>
      <c r="L95" s="106">
        <v>4304</v>
      </c>
      <c r="M95" s="60"/>
    </row>
    <row r="96" spans="2:13" x14ac:dyDescent="0.2">
      <c r="B96" s="105" t="s">
        <v>402</v>
      </c>
      <c r="C96" s="106">
        <v>12779</v>
      </c>
      <c r="D96" s="106">
        <v>12650</v>
      </c>
      <c r="E96" s="106">
        <v>13216</v>
      </c>
      <c r="F96" s="106">
        <v>13834</v>
      </c>
      <c r="G96" s="106">
        <v>14821</v>
      </c>
      <c r="H96" s="106">
        <v>15044</v>
      </c>
      <c r="I96" s="106">
        <v>14934</v>
      </c>
      <c r="J96" s="106">
        <v>14618</v>
      </c>
      <c r="K96" s="106">
        <v>13556</v>
      </c>
      <c r="L96" s="106">
        <v>12505</v>
      </c>
      <c r="M96" s="60"/>
    </row>
    <row r="97" spans="2:12" x14ac:dyDescent="0.2">
      <c r="B97" s="105" t="s">
        <v>403</v>
      </c>
      <c r="C97" s="106">
        <v>123</v>
      </c>
      <c r="D97" s="106">
        <v>123</v>
      </c>
      <c r="E97" s="106">
        <v>116</v>
      </c>
      <c r="F97" s="106">
        <v>126</v>
      </c>
      <c r="G97" s="106">
        <v>114</v>
      </c>
      <c r="H97" s="106">
        <v>126</v>
      </c>
      <c r="I97" s="106">
        <v>143</v>
      </c>
      <c r="J97" s="106">
        <v>153</v>
      </c>
      <c r="K97" s="106">
        <v>140</v>
      </c>
      <c r="L97" s="106">
        <v>135</v>
      </c>
    </row>
    <row r="98" spans="2:12" x14ac:dyDescent="0.2">
      <c r="B98" s="105" t="s">
        <v>404</v>
      </c>
      <c r="C98" s="106">
        <v>3418</v>
      </c>
      <c r="D98" s="106">
        <v>3401</v>
      </c>
      <c r="E98" s="106">
        <v>3777</v>
      </c>
      <c r="F98" s="106">
        <v>3710</v>
      </c>
      <c r="G98" s="106">
        <v>3627</v>
      </c>
      <c r="H98" s="106">
        <v>3427</v>
      </c>
      <c r="I98" s="106">
        <v>3733</v>
      </c>
      <c r="J98" s="106">
        <v>3445</v>
      </c>
      <c r="K98" s="106">
        <v>3140</v>
      </c>
      <c r="L98" s="106">
        <v>3120</v>
      </c>
    </row>
    <row r="99" spans="2:12" x14ac:dyDescent="0.2">
      <c r="B99" s="105" t="s">
        <v>405</v>
      </c>
      <c r="C99" s="106">
        <v>2170</v>
      </c>
      <c r="D99" s="106">
        <v>2260</v>
      </c>
      <c r="E99" s="106">
        <v>2377</v>
      </c>
      <c r="F99" s="106">
        <v>2520</v>
      </c>
      <c r="G99" s="106">
        <v>2565</v>
      </c>
      <c r="H99" s="106">
        <v>2730</v>
      </c>
      <c r="I99" s="106">
        <v>2812</v>
      </c>
      <c r="J99" s="106">
        <v>2976</v>
      </c>
      <c r="K99" s="106">
        <v>2873</v>
      </c>
      <c r="L99" s="106">
        <v>2716</v>
      </c>
    </row>
    <row r="100" spans="2:12" x14ac:dyDescent="0.2">
      <c r="B100" s="105" t="s">
        <v>406</v>
      </c>
      <c r="C100" s="106">
        <v>11536</v>
      </c>
      <c r="D100" s="106">
        <v>11168</v>
      </c>
      <c r="E100" s="106">
        <v>9359</v>
      </c>
      <c r="F100" s="106">
        <v>8091</v>
      </c>
      <c r="G100" s="106">
        <v>7304</v>
      </c>
      <c r="H100" s="106">
        <v>7024</v>
      </c>
      <c r="I100" s="106">
        <v>6871</v>
      </c>
      <c r="J100" s="106">
        <v>6669</v>
      </c>
      <c r="K100" s="106">
        <v>6911</v>
      </c>
      <c r="L100" s="106">
        <v>7098</v>
      </c>
    </row>
    <row r="101" spans="2:12" x14ac:dyDescent="0.2">
      <c r="B101" s="105" t="s">
        <v>407</v>
      </c>
      <c r="C101" s="106">
        <v>59</v>
      </c>
      <c r="D101" s="106">
        <v>85</v>
      </c>
      <c r="E101" s="106">
        <v>142</v>
      </c>
      <c r="F101" s="106">
        <v>193</v>
      </c>
      <c r="G101" s="106">
        <v>243</v>
      </c>
      <c r="H101" s="106">
        <v>274</v>
      </c>
      <c r="I101" s="106">
        <v>272</v>
      </c>
      <c r="J101" s="106">
        <v>335</v>
      </c>
      <c r="K101" s="106">
        <v>400</v>
      </c>
      <c r="L101" s="106">
        <v>548</v>
      </c>
    </row>
    <row r="102" spans="2:12" x14ac:dyDescent="0.2">
      <c r="B102" s="105" t="s">
        <v>408</v>
      </c>
      <c r="C102" s="106">
        <v>1496</v>
      </c>
      <c r="D102" s="106">
        <v>1437</v>
      </c>
      <c r="E102" s="106">
        <v>1413</v>
      </c>
      <c r="F102" s="106">
        <v>1462</v>
      </c>
      <c r="G102" s="106">
        <v>1562</v>
      </c>
      <c r="H102" s="106">
        <v>1627</v>
      </c>
      <c r="I102" s="106">
        <v>1695</v>
      </c>
      <c r="J102" s="106">
        <v>1639</v>
      </c>
      <c r="K102" s="106">
        <v>1513</v>
      </c>
      <c r="L102" s="106">
        <v>1498</v>
      </c>
    </row>
    <row r="103" spans="2:12" x14ac:dyDescent="0.2">
      <c r="B103" s="105" t="s">
        <v>409</v>
      </c>
      <c r="C103" s="106">
        <v>4288</v>
      </c>
      <c r="D103" s="106">
        <v>4329</v>
      </c>
      <c r="E103" s="106">
        <v>3778</v>
      </c>
      <c r="F103" s="106">
        <v>3560</v>
      </c>
      <c r="G103" s="106">
        <v>3325</v>
      </c>
      <c r="H103" s="106">
        <v>3001</v>
      </c>
      <c r="I103" s="106">
        <v>2457</v>
      </c>
      <c r="J103" s="106">
        <v>2426</v>
      </c>
      <c r="K103" s="106">
        <v>2250</v>
      </c>
      <c r="L103" s="106">
        <v>2110</v>
      </c>
    </row>
    <row r="104" spans="2:12" x14ac:dyDescent="0.2">
      <c r="B104" s="105" t="s">
        <v>410</v>
      </c>
      <c r="C104" s="106">
        <v>446</v>
      </c>
      <c r="D104" s="106">
        <v>475</v>
      </c>
      <c r="E104" s="106">
        <v>454</v>
      </c>
      <c r="F104" s="106">
        <v>433</v>
      </c>
      <c r="G104" s="106">
        <v>450</v>
      </c>
      <c r="H104" s="106">
        <v>444</v>
      </c>
      <c r="I104" s="106">
        <v>515</v>
      </c>
      <c r="J104" s="106">
        <v>463</v>
      </c>
      <c r="K104" s="106">
        <v>381</v>
      </c>
      <c r="L104" s="106">
        <v>347</v>
      </c>
    </row>
    <row r="105" spans="2:12" x14ac:dyDescent="0.2">
      <c r="B105" s="105" t="s">
        <v>411</v>
      </c>
      <c r="C105" s="106">
        <v>608</v>
      </c>
      <c r="D105" s="106">
        <v>658</v>
      </c>
      <c r="E105" s="106">
        <v>563</v>
      </c>
      <c r="F105" s="106">
        <v>562</v>
      </c>
      <c r="G105" s="106">
        <v>556</v>
      </c>
      <c r="H105" s="106">
        <v>480</v>
      </c>
      <c r="I105" s="106">
        <v>402</v>
      </c>
      <c r="J105" s="106">
        <v>349</v>
      </c>
      <c r="K105" s="106">
        <v>255</v>
      </c>
      <c r="L105" s="106">
        <v>190</v>
      </c>
    </row>
    <row r="106" spans="2:12" x14ac:dyDescent="0.2">
      <c r="B106" s="105" t="s">
        <v>412</v>
      </c>
      <c r="C106" s="106">
        <v>855</v>
      </c>
      <c r="D106" s="106">
        <v>840</v>
      </c>
      <c r="E106" s="106">
        <v>820</v>
      </c>
      <c r="F106" s="106">
        <v>740</v>
      </c>
      <c r="G106" s="106">
        <v>647</v>
      </c>
      <c r="H106" s="106">
        <v>582</v>
      </c>
      <c r="I106" s="106">
        <v>526</v>
      </c>
      <c r="J106" s="106">
        <v>529</v>
      </c>
      <c r="K106" s="106">
        <v>508</v>
      </c>
      <c r="L106" s="106">
        <v>491</v>
      </c>
    </row>
    <row r="107" spans="2:12" x14ac:dyDescent="0.2">
      <c r="B107" s="105" t="s">
        <v>413</v>
      </c>
      <c r="C107" s="106">
        <v>9059</v>
      </c>
      <c r="D107" s="106">
        <v>9512</v>
      </c>
      <c r="E107" s="106">
        <v>10002</v>
      </c>
      <c r="F107" s="106">
        <v>10576</v>
      </c>
      <c r="G107" s="106">
        <v>10586</v>
      </c>
      <c r="H107" s="106">
        <v>10491</v>
      </c>
      <c r="I107" s="106">
        <v>10480</v>
      </c>
      <c r="J107" s="106">
        <v>10289</v>
      </c>
      <c r="K107" s="106">
        <v>10008</v>
      </c>
      <c r="L107" s="106">
        <v>9576</v>
      </c>
    </row>
    <row r="108" spans="2:12" x14ac:dyDescent="0.2">
      <c r="B108" s="105" t="s">
        <v>414</v>
      </c>
      <c r="C108" s="106">
        <v>2106</v>
      </c>
      <c r="D108" s="106">
        <v>2225</v>
      </c>
      <c r="E108" s="106">
        <v>1933</v>
      </c>
      <c r="F108" s="106">
        <v>1674</v>
      </c>
      <c r="G108" s="106">
        <v>1423</v>
      </c>
      <c r="H108" s="106">
        <v>1253</v>
      </c>
      <c r="I108" s="106">
        <v>1118</v>
      </c>
      <c r="J108" s="106">
        <v>1048</v>
      </c>
      <c r="K108" s="106">
        <v>1014</v>
      </c>
      <c r="L108" s="106">
        <v>1001</v>
      </c>
    </row>
    <row r="109" spans="2:12" x14ac:dyDescent="0.2">
      <c r="B109" s="105" t="s">
        <v>415</v>
      </c>
      <c r="C109" s="106">
        <v>0</v>
      </c>
      <c r="D109" s="106">
        <v>0</v>
      </c>
      <c r="E109" s="106">
        <v>0</v>
      </c>
      <c r="F109" s="106">
        <v>69</v>
      </c>
      <c r="G109" s="106">
        <v>69</v>
      </c>
      <c r="H109" s="106">
        <v>75</v>
      </c>
      <c r="I109" s="106">
        <v>43</v>
      </c>
      <c r="J109" s="106">
        <v>0</v>
      </c>
      <c r="K109" s="106">
        <v>0</v>
      </c>
      <c r="L109" s="106">
        <v>0</v>
      </c>
    </row>
    <row r="110" spans="2:12" x14ac:dyDescent="0.2">
      <c r="B110" s="105" t="s">
        <v>416</v>
      </c>
      <c r="C110" s="106">
        <v>93</v>
      </c>
      <c r="D110" s="106">
        <v>199</v>
      </c>
      <c r="E110" s="106">
        <v>36</v>
      </c>
      <c r="F110" s="106">
        <v>46</v>
      </c>
      <c r="G110" s="106">
        <v>79</v>
      </c>
      <c r="H110" s="106">
        <v>116</v>
      </c>
      <c r="I110" s="106">
        <v>95</v>
      </c>
      <c r="J110" s="106">
        <v>96</v>
      </c>
      <c r="K110" s="106">
        <v>81</v>
      </c>
      <c r="L110" s="106">
        <v>64</v>
      </c>
    </row>
    <row r="111" spans="2:12" x14ac:dyDescent="0.2">
      <c r="B111" s="105" t="s">
        <v>417</v>
      </c>
      <c r="C111" s="106">
        <v>0</v>
      </c>
      <c r="D111" s="106">
        <v>0</v>
      </c>
      <c r="E111" s="106">
        <v>0</v>
      </c>
      <c r="F111" s="106">
        <v>0</v>
      </c>
      <c r="G111" s="106">
        <v>0</v>
      </c>
      <c r="H111" s="106">
        <v>0</v>
      </c>
      <c r="I111" s="106">
        <v>0</v>
      </c>
      <c r="J111" s="106">
        <v>1</v>
      </c>
      <c r="K111" s="106">
        <v>0</v>
      </c>
      <c r="L111" s="106">
        <v>0</v>
      </c>
    </row>
    <row r="112" spans="2:12" x14ac:dyDescent="0.2">
      <c r="B112" s="105" t="s">
        <v>418</v>
      </c>
      <c r="C112" s="106">
        <v>1805</v>
      </c>
      <c r="D112" s="106">
        <v>1818</v>
      </c>
      <c r="E112" s="106">
        <v>1747</v>
      </c>
      <c r="F112" s="106">
        <v>1444</v>
      </c>
      <c r="G112" s="106">
        <v>1742</v>
      </c>
      <c r="H112" s="106">
        <v>1383</v>
      </c>
      <c r="I112" s="106">
        <v>1319</v>
      </c>
      <c r="J112" s="106">
        <v>1263</v>
      </c>
      <c r="K112" s="106">
        <v>1029</v>
      </c>
      <c r="L112" s="106">
        <v>1057</v>
      </c>
    </row>
    <row r="113" spans="2:13" x14ac:dyDescent="0.2">
      <c r="B113" s="105" t="s">
        <v>419</v>
      </c>
      <c r="C113" s="106">
        <v>131</v>
      </c>
      <c r="D113" s="106">
        <v>137</v>
      </c>
      <c r="E113" s="106">
        <v>115</v>
      </c>
      <c r="F113" s="106">
        <v>84</v>
      </c>
      <c r="G113" s="106">
        <v>54</v>
      </c>
      <c r="H113" s="106">
        <v>35</v>
      </c>
      <c r="I113" s="106">
        <v>27</v>
      </c>
      <c r="J113" s="106">
        <v>25</v>
      </c>
      <c r="K113" s="106">
        <v>29</v>
      </c>
      <c r="L113" s="106">
        <v>32</v>
      </c>
      <c r="M113" s="60"/>
    </row>
    <row r="114" spans="2:13" x14ac:dyDescent="0.2">
      <c r="B114" s="105" t="s">
        <v>420</v>
      </c>
      <c r="C114" s="106">
        <v>1899</v>
      </c>
      <c r="D114" s="106">
        <v>1754</v>
      </c>
      <c r="E114" s="106">
        <v>1527</v>
      </c>
      <c r="F114" s="106">
        <v>1414</v>
      </c>
      <c r="G114" s="106">
        <v>1323</v>
      </c>
      <c r="H114" s="106">
        <v>1171</v>
      </c>
      <c r="I114" s="106">
        <v>1101</v>
      </c>
      <c r="J114" s="106">
        <v>1044</v>
      </c>
      <c r="K114" s="106">
        <v>955</v>
      </c>
      <c r="L114" s="106">
        <v>948</v>
      </c>
      <c r="M114" s="60"/>
    </row>
    <row r="115" spans="2:13" x14ac:dyDescent="0.2">
      <c r="B115" s="105" t="s">
        <v>421</v>
      </c>
      <c r="C115" s="106">
        <v>563</v>
      </c>
      <c r="D115" s="106">
        <v>576</v>
      </c>
      <c r="E115" s="106">
        <v>599</v>
      </c>
      <c r="F115" s="106">
        <v>569</v>
      </c>
      <c r="G115" s="106">
        <v>593</v>
      </c>
      <c r="H115" s="106">
        <v>611</v>
      </c>
      <c r="I115" s="106">
        <v>654</v>
      </c>
      <c r="J115" s="106">
        <v>716</v>
      </c>
      <c r="K115" s="106">
        <v>712</v>
      </c>
      <c r="L115" s="106">
        <v>736</v>
      </c>
      <c r="M115" s="60"/>
    </row>
    <row r="116" spans="2:13" x14ac:dyDescent="0.2">
      <c r="B116" s="105" t="s">
        <v>422</v>
      </c>
      <c r="C116" s="106">
        <v>2362</v>
      </c>
      <c r="D116" s="106">
        <v>1870</v>
      </c>
      <c r="E116" s="106">
        <v>1643</v>
      </c>
      <c r="F116" s="106">
        <v>1659</v>
      </c>
      <c r="G116" s="106">
        <v>1347</v>
      </c>
      <c r="H116" s="106">
        <v>1445</v>
      </c>
      <c r="I116" s="106">
        <v>1518</v>
      </c>
      <c r="J116" s="106">
        <v>1657</v>
      </c>
      <c r="K116" s="106">
        <v>1645</v>
      </c>
      <c r="L116" s="106">
        <v>2075</v>
      </c>
      <c r="M116" s="60"/>
    </row>
    <row r="117" spans="2:13" x14ac:dyDescent="0.2">
      <c r="B117" s="105" t="s">
        <v>423</v>
      </c>
      <c r="C117" s="106">
        <v>5519</v>
      </c>
      <c r="D117" s="106">
        <v>5555</v>
      </c>
      <c r="E117" s="106">
        <v>5321</v>
      </c>
      <c r="F117" s="106">
        <v>5292</v>
      </c>
      <c r="G117" s="106">
        <v>5118</v>
      </c>
      <c r="H117" s="106">
        <v>4786</v>
      </c>
      <c r="I117" s="106">
        <v>4403</v>
      </c>
      <c r="J117" s="106">
        <v>4421</v>
      </c>
      <c r="K117" s="106">
        <v>4070</v>
      </c>
      <c r="L117" s="106">
        <v>3877</v>
      </c>
      <c r="M117" s="60"/>
    </row>
    <row r="118" spans="2:13" x14ac:dyDescent="0.2">
      <c r="B118" s="105" t="s">
        <v>424</v>
      </c>
      <c r="C118" s="106">
        <v>0</v>
      </c>
      <c r="D118" s="106">
        <v>0</v>
      </c>
      <c r="E118" s="106">
        <v>0</v>
      </c>
      <c r="F118" s="106">
        <v>0</v>
      </c>
      <c r="G118" s="106">
        <v>0</v>
      </c>
      <c r="H118" s="106">
        <v>0</v>
      </c>
      <c r="I118" s="106">
        <v>0</v>
      </c>
      <c r="J118" s="106">
        <v>0</v>
      </c>
      <c r="K118" s="106">
        <v>3</v>
      </c>
      <c r="L118" s="106">
        <v>1</v>
      </c>
      <c r="M118" s="60"/>
    </row>
    <row r="119" spans="2:13" x14ac:dyDescent="0.2">
      <c r="B119" s="105" t="s">
        <v>425</v>
      </c>
      <c r="C119" s="106">
        <v>0</v>
      </c>
      <c r="D119" s="106">
        <v>0</v>
      </c>
      <c r="E119" s="106">
        <v>0</v>
      </c>
      <c r="F119" s="106">
        <v>0</v>
      </c>
      <c r="G119" s="106">
        <v>0</v>
      </c>
      <c r="H119" s="106">
        <v>0</v>
      </c>
      <c r="I119" s="106">
        <v>0</v>
      </c>
      <c r="J119" s="106">
        <v>0</v>
      </c>
      <c r="K119" s="106">
        <v>133</v>
      </c>
      <c r="L119" s="106">
        <v>117</v>
      </c>
      <c r="M119" s="65"/>
    </row>
    <row r="120" spans="2:13" x14ac:dyDescent="0.2">
      <c r="B120" s="105" t="s">
        <v>426</v>
      </c>
      <c r="C120" s="106">
        <v>2754</v>
      </c>
      <c r="D120" s="106">
        <v>2869</v>
      </c>
      <c r="E120" s="106">
        <v>2907</v>
      </c>
      <c r="F120" s="106">
        <v>2931</v>
      </c>
      <c r="G120" s="106">
        <v>2867</v>
      </c>
      <c r="H120" s="106">
        <v>2773</v>
      </c>
      <c r="I120" s="106">
        <v>2574</v>
      </c>
      <c r="J120" s="106">
        <v>2372</v>
      </c>
      <c r="K120" s="106">
        <v>2154</v>
      </c>
      <c r="L120" s="106">
        <v>1944</v>
      </c>
      <c r="M120" s="65"/>
    </row>
    <row r="121" spans="2:13" x14ac:dyDescent="0.2">
      <c r="B121" s="105" t="s">
        <v>427</v>
      </c>
      <c r="C121" s="106">
        <v>3286</v>
      </c>
      <c r="D121" s="106">
        <v>3638</v>
      </c>
      <c r="E121" s="106">
        <v>3672</v>
      </c>
      <c r="F121" s="106">
        <v>3419</v>
      </c>
      <c r="G121" s="106">
        <v>3637</v>
      </c>
      <c r="H121" s="106">
        <v>3805</v>
      </c>
      <c r="I121" s="106">
        <v>3781</v>
      </c>
      <c r="J121" s="106">
        <v>3689</v>
      </c>
      <c r="K121" s="106">
        <v>3763</v>
      </c>
      <c r="L121" s="106">
        <v>3587</v>
      </c>
      <c r="M121" s="65"/>
    </row>
    <row r="122" spans="2:13" x14ac:dyDescent="0.2">
      <c r="B122" s="105" t="s">
        <v>428</v>
      </c>
      <c r="C122" s="106">
        <v>5096</v>
      </c>
      <c r="D122" s="106">
        <v>5331</v>
      </c>
      <c r="E122" s="106">
        <v>5475</v>
      </c>
      <c r="F122" s="106">
        <v>5402</v>
      </c>
      <c r="G122" s="106">
        <v>5286</v>
      </c>
      <c r="H122" s="106">
        <v>5029</v>
      </c>
      <c r="I122" s="106">
        <v>4692</v>
      </c>
      <c r="J122" s="106">
        <v>4508</v>
      </c>
      <c r="K122" s="106">
        <v>4205</v>
      </c>
      <c r="L122" s="106">
        <v>4224</v>
      </c>
      <c r="M122" s="65"/>
    </row>
    <row r="123" spans="2:13" x14ac:dyDescent="0.2">
      <c r="B123" s="107" t="s">
        <v>429</v>
      </c>
      <c r="C123" s="108">
        <v>1728</v>
      </c>
      <c r="D123" s="108">
        <v>1915</v>
      </c>
      <c r="E123" s="108">
        <v>2042</v>
      </c>
      <c r="F123" s="108">
        <v>2160</v>
      </c>
      <c r="G123" s="108">
        <v>2261</v>
      </c>
      <c r="H123" s="108">
        <v>2242</v>
      </c>
      <c r="I123" s="108">
        <v>2103</v>
      </c>
      <c r="J123" s="108">
        <v>1927</v>
      </c>
      <c r="K123" s="108">
        <v>1856</v>
      </c>
      <c r="L123" s="108">
        <v>1732</v>
      </c>
      <c r="M123" s="65"/>
    </row>
    <row r="124" spans="2:13" x14ac:dyDescent="0.2">
      <c r="B124" s="124" t="s">
        <v>430</v>
      </c>
      <c r="C124" s="125">
        <v>223</v>
      </c>
      <c r="D124" s="125">
        <v>223</v>
      </c>
      <c r="E124" s="125">
        <v>255</v>
      </c>
      <c r="F124" s="125">
        <v>223</v>
      </c>
      <c r="G124" s="125">
        <v>216</v>
      </c>
      <c r="H124" s="125">
        <v>202</v>
      </c>
      <c r="I124" s="125">
        <v>163</v>
      </c>
      <c r="J124" s="125">
        <v>167</v>
      </c>
      <c r="K124" s="125">
        <v>0</v>
      </c>
      <c r="L124" s="125">
        <v>0</v>
      </c>
      <c r="M124" s="91"/>
    </row>
    <row r="125" spans="2:13" x14ac:dyDescent="0.2">
      <c r="B125" s="124" t="s">
        <v>431</v>
      </c>
      <c r="C125" s="125">
        <v>0</v>
      </c>
      <c r="D125" s="125">
        <v>0</v>
      </c>
      <c r="E125" s="125">
        <v>0</v>
      </c>
      <c r="F125" s="125">
        <v>0</v>
      </c>
      <c r="G125" s="125">
        <v>0</v>
      </c>
      <c r="H125" s="125">
        <v>0</v>
      </c>
      <c r="I125" s="125">
        <v>0</v>
      </c>
      <c r="J125" s="125">
        <v>43</v>
      </c>
      <c r="K125" s="125">
        <v>79</v>
      </c>
      <c r="L125" s="125">
        <v>0</v>
      </c>
      <c r="M125" s="60"/>
    </row>
    <row r="126" spans="2:13" x14ac:dyDescent="0.2">
      <c r="B126" s="27" t="s">
        <v>432</v>
      </c>
      <c r="C126" s="28">
        <v>13</v>
      </c>
      <c r="D126" s="28">
        <v>11</v>
      </c>
      <c r="E126" s="28">
        <v>15</v>
      </c>
      <c r="F126" s="28">
        <v>5</v>
      </c>
      <c r="G126" s="28">
        <v>5</v>
      </c>
      <c r="H126" s="28">
        <v>2</v>
      </c>
      <c r="I126" s="28">
        <v>0</v>
      </c>
      <c r="J126" s="28">
        <v>0</v>
      </c>
      <c r="K126" s="28">
        <v>1</v>
      </c>
      <c r="L126" s="28">
        <v>2</v>
      </c>
      <c r="M126" s="60"/>
    </row>
    <row r="127" spans="2:13" x14ac:dyDescent="0.2">
      <c r="B127" s="27" t="s">
        <v>433</v>
      </c>
      <c r="C127" s="28">
        <v>6761</v>
      </c>
      <c r="D127" s="28">
        <v>6182</v>
      </c>
      <c r="E127" s="28">
        <v>6135</v>
      </c>
      <c r="F127" s="28">
        <v>6065</v>
      </c>
      <c r="G127" s="28">
        <v>5655</v>
      </c>
      <c r="H127" s="28">
        <v>5185</v>
      </c>
      <c r="I127" s="28">
        <v>4797</v>
      </c>
      <c r="J127" s="28">
        <v>4528</v>
      </c>
      <c r="K127" s="28">
        <v>4065</v>
      </c>
      <c r="L127" s="28">
        <v>3856</v>
      </c>
      <c r="M127" s="60"/>
    </row>
    <row r="128" spans="2:13" x14ac:dyDescent="0.2">
      <c r="B128" s="27" t="s">
        <v>434</v>
      </c>
      <c r="C128" s="28">
        <v>11493</v>
      </c>
      <c r="D128" s="28">
        <v>11385</v>
      </c>
      <c r="E128" s="28">
        <v>10822</v>
      </c>
      <c r="F128" s="28">
        <v>10218</v>
      </c>
      <c r="G128" s="28">
        <v>8821</v>
      </c>
      <c r="H128" s="28">
        <v>8430</v>
      </c>
      <c r="I128" s="28">
        <v>7862</v>
      </c>
      <c r="J128" s="28">
        <v>6811</v>
      </c>
      <c r="K128" s="28">
        <v>6518</v>
      </c>
      <c r="L128" s="28">
        <v>6204</v>
      </c>
      <c r="M128" s="64"/>
    </row>
    <row r="129" spans="2:13" x14ac:dyDescent="0.2">
      <c r="B129" s="27" t="s">
        <v>435</v>
      </c>
      <c r="C129" s="28">
        <v>5694</v>
      </c>
      <c r="D129" s="28">
        <v>5508</v>
      </c>
      <c r="E129" s="28">
        <v>5149</v>
      </c>
      <c r="F129" s="28">
        <v>4880</v>
      </c>
      <c r="G129" s="28">
        <v>4505</v>
      </c>
      <c r="H129" s="28">
        <v>4026</v>
      </c>
      <c r="I129" s="28">
        <v>3939</v>
      </c>
      <c r="J129" s="28">
        <v>3910</v>
      </c>
      <c r="K129" s="28">
        <v>3864</v>
      </c>
      <c r="L129" s="28">
        <v>3858</v>
      </c>
      <c r="M129" s="60"/>
    </row>
    <row r="130" spans="2:13" x14ac:dyDescent="0.2">
      <c r="B130" s="20" t="s">
        <v>27</v>
      </c>
      <c r="C130" s="21">
        <f>SUBTOTAL(109,'Enrollment By Major Trend'!$C$92:$C$129)</f>
        <v>102974</v>
      </c>
      <c r="D130" s="21">
        <f>SUBTOTAL(109,'Enrollment By Major Trend'!$D$92:$D$129)</f>
        <v>102900</v>
      </c>
      <c r="E130" s="21">
        <f>SUBTOTAL(109,'Enrollment By Major Trend'!$E$92:$E$129)</f>
        <v>100350</v>
      </c>
      <c r="F130" s="21">
        <f>SUBTOTAL(109,'Enrollment By Major Trend'!$F$92:$F$129)</f>
        <v>98396</v>
      </c>
      <c r="G130" s="21">
        <f>SUBTOTAL(109,'Enrollment By Major Trend'!$G$92:$G$129)</f>
        <v>95804</v>
      </c>
      <c r="H130" s="21">
        <f>SUBTOTAL(109,'Enrollment By Major Trend'!$H$92:$H$129)</f>
        <v>92818</v>
      </c>
      <c r="I130" s="21">
        <f>SUBTOTAL(109,'Enrollment By Major Trend'!$I$92:$I$129)</f>
        <v>89800</v>
      </c>
      <c r="J130" s="21">
        <f>SUBTOTAL(109,'Enrollment By Major Trend'!$J$92:$J$129)</f>
        <v>86971</v>
      </c>
      <c r="K130" s="21">
        <f>SUBTOTAL(109,'Enrollment By Major Trend'!$K$92:$K$129)</f>
        <v>82805</v>
      </c>
      <c r="L130" s="21">
        <f>SUBTOTAL(109,'Enrollment By Major Trend'!$L$92:$L$129)</f>
        <v>80118</v>
      </c>
      <c r="M130" s="60"/>
    </row>
    <row r="131" spans="2:13" x14ac:dyDescent="0.2">
      <c r="B131" s="20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60"/>
    </row>
    <row r="135" spans="2:13" ht="15" x14ac:dyDescent="0.2">
      <c r="B135" s="138" t="str">
        <f>CONCATENATE("Total Number of Bachelor Degree Seeking Enrollments by Major*  ",  IF(RIGHT(Parameters!B1,1) = "1","Fall ", "Spring "),IF(RIGHT(Parameters!B1,1)  = "1",LEFT(Parameters!B1,4) -9, LEFT(Parameters!B1,4)-8 ),"-",IF(RIGHT(Parameters!B1,1)  = "1",LEFT(Parameters!B1,4), LEFT(Parameters!B1,4)+1 ))</f>
        <v>Total Number of Bachelor Degree Seeking Enrollments by Major*  Fall 2010-2019</v>
      </c>
      <c r="C135" s="127"/>
      <c r="D135" s="127"/>
      <c r="E135" s="127"/>
      <c r="F135" s="127"/>
      <c r="G135" s="127"/>
      <c r="H135" s="127"/>
      <c r="I135" s="127"/>
      <c r="J135" s="127"/>
      <c r="K135" s="127"/>
      <c r="L135" s="127"/>
      <c r="M135" s="64"/>
    </row>
    <row r="136" spans="2:13" ht="30.95" customHeight="1" x14ac:dyDescent="0.2">
      <c r="B136" s="52" t="s">
        <v>397</v>
      </c>
      <c r="C136" s="52" t="str">
        <f>CONCATENATE(IF(RIGHT(Parameters!B1,1) = "1","Fall ", "Spring "),IF(RIGHT(Parameters!B1,1) = "1",LEFT(Parameters!B1,4) -9, LEFT(Parameters!B1,4) - 8))</f>
        <v>Fall 2010</v>
      </c>
      <c r="D136" s="52" t="str">
        <f>CONCATENATE(IF(RIGHT(Parameters!B1,1) = "1","Fall ", "Spring "),IF(RIGHT(Parameters!B1,1) = "1",LEFT(Parameters!B1,4) -8, LEFT(Parameters!B1,4) - 7))</f>
        <v>Fall 2011</v>
      </c>
      <c r="E136" s="52" t="str">
        <f>CONCATENATE(IF(RIGHT(Parameters!B1,1) = "1","Fall ", "Spring "),IF(RIGHT(Parameters!B1,1) = "1",LEFT(Parameters!B1,4) -7, LEFT(Parameters!B1,4) - 6))</f>
        <v>Fall 2012</v>
      </c>
      <c r="F136" s="52" t="str">
        <f>CONCATENATE(IF(RIGHT(Parameters!B1,1) = "1","Fall ", "Spring "),IF(RIGHT(Parameters!B1,1) = "1",LEFT(Parameters!B1,4) -6, LEFT(Parameters!B1,4) - 5))</f>
        <v>Fall 2013</v>
      </c>
      <c r="G136" s="52" t="str">
        <f>CONCATENATE(IF(RIGHT(Parameters!B1,1) = "1","Fall ", "Spring "),IF(RIGHT(Parameters!B1,1) = "1",LEFT(Parameters!B1,4) -5, LEFT(Parameters!B1,4) - 4))</f>
        <v>Fall 2014</v>
      </c>
      <c r="H136" s="52" t="str">
        <f>CONCATENATE(IF(RIGHT(Parameters!B1,1) = "1","Fall ", "Spring "),IF(RIGHT(Parameters!B1,1) = "1",LEFT(Parameters!B1,4) -4, LEFT(Parameters!B1,4) - 3))</f>
        <v>Fall 2015</v>
      </c>
      <c r="I136" s="52" t="str">
        <f>CONCATENATE(IF(RIGHT(Parameters!B1,1) = "1","Fall ", "Spring "),IF(RIGHT(Parameters!B1,1) = "1",LEFT(Parameters!B1,4) -3, LEFT(Parameters!B1,4) -2 ))</f>
        <v>Fall 2016</v>
      </c>
      <c r="J136" s="52" t="str">
        <f>CONCATENATE(IF(RIGHT(Parameters!B1,1) = "1","Fall ", "Spring "),IF(RIGHT(Parameters!B1,1) = "1",LEFT(Parameters!B1,4) -2, LEFT(Parameters!B1,4) -1 ))</f>
        <v>Fall 2017</v>
      </c>
      <c r="K136" s="52" t="str">
        <f>CONCATENATE(IF(RIGHT(Parameters!B1,1) = "1","Fall ", "Spring "),IF(RIGHT(Parameters!B1,1) = "1",LEFT(Parameters!B1,4) -1, LEFT(Parameters!B1,4)  ))</f>
        <v>Fall 2018</v>
      </c>
      <c r="L136" s="52" t="str">
        <f>CONCATENATE(IF(RIGHT(Parameters!B1,1) = "1","Fall ", "Spring "),IF(RIGHT(Parameters!B1,1) = "1",LEFT(Parameters!B1,4), LEFT(Parameters!B1,4) + 1))</f>
        <v>Fall 2019</v>
      </c>
      <c r="M136" s="60"/>
    </row>
    <row r="137" spans="2:13" ht="15.75" hidden="1" customHeight="1" thickBot="1" x14ac:dyDescent="0.25">
      <c r="B137" s="122" t="s">
        <v>397</v>
      </c>
      <c r="C137" s="64" t="s">
        <v>3</v>
      </c>
      <c r="D137" s="64" t="s">
        <v>4</v>
      </c>
      <c r="E137" s="64" t="s">
        <v>5</v>
      </c>
      <c r="F137" s="64" t="s">
        <v>6</v>
      </c>
      <c r="G137" s="64" t="s">
        <v>7</v>
      </c>
      <c r="H137" s="64" t="s">
        <v>8</v>
      </c>
      <c r="I137" s="64" t="s">
        <v>9</v>
      </c>
      <c r="J137" s="64" t="s">
        <v>10</v>
      </c>
      <c r="K137" s="64" t="s">
        <v>11</v>
      </c>
      <c r="L137" s="123" t="s">
        <v>12</v>
      </c>
      <c r="M137" s="60"/>
    </row>
    <row r="138" spans="2:13" x14ac:dyDescent="0.2">
      <c r="B138" s="103" t="s">
        <v>398</v>
      </c>
      <c r="C138" s="104">
        <v>0</v>
      </c>
      <c r="D138" s="104">
        <v>0</v>
      </c>
      <c r="E138" s="104">
        <v>0</v>
      </c>
      <c r="F138" s="104">
        <v>0</v>
      </c>
      <c r="G138" s="104">
        <v>0</v>
      </c>
      <c r="H138" s="104">
        <v>0</v>
      </c>
      <c r="I138" s="104">
        <v>0</v>
      </c>
      <c r="J138" s="104">
        <v>0</v>
      </c>
      <c r="K138" s="104">
        <v>13</v>
      </c>
      <c r="L138" s="104">
        <v>0</v>
      </c>
      <c r="M138" s="60"/>
    </row>
    <row r="139" spans="2:13" x14ac:dyDescent="0.2">
      <c r="B139" s="105" t="s">
        <v>399</v>
      </c>
      <c r="C139" s="106">
        <v>35</v>
      </c>
      <c r="D139" s="106">
        <v>36</v>
      </c>
      <c r="E139" s="106">
        <v>47</v>
      </c>
      <c r="F139" s="106">
        <v>45</v>
      </c>
      <c r="G139" s="106">
        <v>46</v>
      </c>
      <c r="H139" s="106">
        <v>47</v>
      </c>
      <c r="I139" s="106">
        <v>43</v>
      </c>
      <c r="J139" s="106">
        <v>65</v>
      </c>
      <c r="K139" s="106">
        <v>84</v>
      </c>
      <c r="L139" s="106">
        <v>76</v>
      </c>
      <c r="M139" s="60"/>
    </row>
    <row r="140" spans="2:13" x14ac:dyDescent="0.2">
      <c r="B140" s="105" t="s">
        <v>400</v>
      </c>
      <c r="C140" s="106">
        <v>117</v>
      </c>
      <c r="D140" s="106">
        <v>120</v>
      </c>
      <c r="E140" s="106">
        <v>122</v>
      </c>
      <c r="F140" s="106">
        <v>148</v>
      </c>
      <c r="G140" s="106">
        <v>146</v>
      </c>
      <c r="H140" s="106">
        <v>131</v>
      </c>
      <c r="I140" s="106">
        <v>117</v>
      </c>
      <c r="J140" s="106">
        <v>114</v>
      </c>
      <c r="K140" s="106">
        <v>102</v>
      </c>
      <c r="L140" s="106">
        <v>89</v>
      </c>
      <c r="M140" s="60"/>
    </row>
    <row r="141" spans="2:13" x14ac:dyDescent="0.2">
      <c r="B141" s="105" t="s">
        <v>401</v>
      </c>
      <c r="C141" s="106">
        <v>4458</v>
      </c>
      <c r="D141" s="106">
        <v>4610</v>
      </c>
      <c r="E141" s="106">
        <v>4771</v>
      </c>
      <c r="F141" s="106">
        <v>4834</v>
      </c>
      <c r="G141" s="106">
        <v>4805</v>
      </c>
      <c r="H141" s="106">
        <v>4820</v>
      </c>
      <c r="I141" s="106">
        <v>4610</v>
      </c>
      <c r="J141" s="106">
        <v>4674</v>
      </c>
      <c r="K141" s="106">
        <v>4493</v>
      </c>
      <c r="L141" s="106">
        <v>4303</v>
      </c>
      <c r="M141" s="60"/>
    </row>
    <row r="142" spans="2:13" x14ac:dyDescent="0.2">
      <c r="B142" s="105" t="s">
        <v>402</v>
      </c>
      <c r="C142" s="106">
        <v>12633</v>
      </c>
      <c r="D142" s="106">
        <v>12539</v>
      </c>
      <c r="E142" s="106">
        <v>13109</v>
      </c>
      <c r="F142" s="106">
        <v>13737</v>
      </c>
      <c r="G142" s="106">
        <v>14698</v>
      </c>
      <c r="H142" s="106">
        <v>14914</v>
      </c>
      <c r="I142" s="106">
        <v>14810</v>
      </c>
      <c r="J142" s="106">
        <v>14464</v>
      </c>
      <c r="K142" s="106">
        <v>13452</v>
      </c>
      <c r="L142" s="106">
        <v>12417</v>
      </c>
      <c r="M142" s="60"/>
    </row>
    <row r="143" spans="2:13" x14ac:dyDescent="0.2">
      <c r="B143" s="105" t="s">
        <v>403</v>
      </c>
      <c r="C143" s="106">
        <v>123</v>
      </c>
      <c r="D143" s="106">
        <v>121</v>
      </c>
      <c r="E143" s="106">
        <v>115</v>
      </c>
      <c r="F143" s="106">
        <v>126</v>
      </c>
      <c r="G143" s="106">
        <v>112</v>
      </c>
      <c r="H143" s="106">
        <v>124</v>
      </c>
      <c r="I143" s="106">
        <v>139</v>
      </c>
      <c r="J143" s="106">
        <v>152</v>
      </c>
      <c r="K143" s="106">
        <v>140</v>
      </c>
      <c r="L143" s="106">
        <v>135</v>
      </c>
      <c r="M143" s="60"/>
    </row>
    <row r="144" spans="2:13" x14ac:dyDescent="0.2">
      <c r="B144" s="105" t="s">
        <v>404</v>
      </c>
      <c r="C144" s="106">
        <v>3417</v>
      </c>
      <c r="D144" s="106">
        <v>3400</v>
      </c>
      <c r="E144" s="106">
        <v>3777</v>
      </c>
      <c r="F144" s="106">
        <v>3710</v>
      </c>
      <c r="G144" s="106">
        <v>3627</v>
      </c>
      <c r="H144" s="106">
        <v>3427</v>
      </c>
      <c r="I144" s="106">
        <v>3733</v>
      </c>
      <c r="J144" s="106">
        <v>3445</v>
      </c>
      <c r="K144" s="106">
        <v>3140</v>
      </c>
      <c r="L144" s="106">
        <v>3120</v>
      </c>
      <c r="M144" s="60"/>
    </row>
    <row r="145" spans="2:13" x14ac:dyDescent="0.2">
      <c r="B145" s="105" t="s">
        <v>405</v>
      </c>
      <c r="C145" s="106">
        <v>2149</v>
      </c>
      <c r="D145" s="106">
        <v>2239</v>
      </c>
      <c r="E145" s="106">
        <v>2356</v>
      </c>
      <c r="F145" s="106">
        <v>2492</v>
      </c>
      <c r="G145" s="106">
        <v>2534</v>
      </c>
      <c r="H145" s="106">
        <v>2713</v>
      </c>
      <c r="I145" s="106">
        <v>2798</v>
      </c>
      <c r="J145" s="106">
        <v>2963</v>
      </c>
      <c r="K145" s="106">
        <v>2860</v>
      </c>
      <c r="L145" s="106">
        <v>2703</v>
      </c>
      <c r="M145" s="60"/>
    </row>
    <row r="146" spans="2:13" x14ac:dyDescent="0.2">
      <c r="B146" s="105" t="s">
        <v>406</v>
      </c>
      <c r="C146" s="106">
        <v>11281</v>
      </c>
      <c r="D146" s="106">
        <v>10947</v>
      </c>
      <c r="E146" s="106">
        <v>9164</v>
      </c>
      <c r="F146" s="106">
        <v>7977</v>
      </c>
      <c r="G146" s="106">
        <v>7099</v>
      </c>
      <c r="H146" s="106">
        <v>6817</v>
      </c>
      <c r="I146" s="106">
        <v>6795</v>
      </c>
      <c r="J146" s="106">
        <v>6595</v>
      </c>
      <c r="K146" s="106">
        <v>6689</v>
      </c>
      <c r="L146" s="106">
        <v>6893</v>
      </c>
      <c r="M146" s="60"/>
    </row>
    <row r="147" spans="2:13" x14ac:dyDescent="0.2">
      <c r="B147" s="105" t="s">
        <v>407</v>
      </c>
      <c r="C147" s="106">
        <v>59</v>
      </c>
      <c r="D147" s="106">
        <v>85</v>
      </c>
      <c r="E147" s="106">
        <v>142</v>
      </c>
      <c r="F147" s="106">
        <v>193</v>
      </c>
      <c r="G147" s="106">
        <v>243</v>
      </c>
      <c r="H147" s="106">
        <v>274</v>
      </c>
      <c r="I147" s="106">
        <v>272</v>
      </c>
      <c r="J147" s="106">
        <v>335</v>
      </c>
      <c r="K147" s="106">
        <v>400</v>
      </c>
      <c r="L147" s="106">
        <v>548</v>
      </c>
      <c r="M147" s="60"/>
    </row>
    <row r="148" spans="2:13" x14ac:dyDescent="0.2">
      <c r="B148" s="105" t="s">
        <v>408</v>
      </c>
      <c r="C148" s="106">
        <v>1288</v>
      </c>
      <c r="D148" s="106">
        <v>1248</v>
      </c>
      <c r="E148" s="106">
        <v>1282</v>
      </c>
      <c r="F148" s="106">
        <v>1318</v>
      </c>
      <c r="G148" s="106">
        <v>1343</v>
      </c>
      <c r="H148" s="106">
        <v>1409</v>
      </c>
      <c r="I148" s="106">
        <v>1437</v>
      </c>
      <c r="J148" s="106">
        <v>1389</v>
      </c>
      <c r="K148" s="106">
        <v>1301</v>
      </c>
      <c r="L148" s="106">
        <v>1270</v>
      </c>
      <c r="M148" s="60"/>
    </row>
    <row r="149" spans="2:13" x14ac:dyDescent="0.2">
      <c r="B149" s="105" t="s">
        <v>409</v>
      </c>
      <c r="C149" s="106">
        <v>4129</v>
      </c>
      <c r="D149" s="106">
        <v>4155</v>
      </c>
      <c r="E149" s="106">
        <v>3615</v>
      </c>
      <c r="F149" s="106">
        <v>3367</v>
      </c>
      <c r="G149" s="106">
        <v>3115</v>
      </c>
      <c r="H149" s="106">
        <v>2996</v>
      </c>
      <c r="I149" s="106">
        <v>2454</v>
      </c>
      <c r="J149" s="106">
        <v>2423</v>
      </c>
      <c r="K149" s="106">
        <v>2249</v>
      </c>
      <c r="L149" s="106">
        <v>2108</v>
      </c>
      <c r="M149" s="60"/>
    </row>
    <row r="150" spans="2:13" x14ac:dyDescent="0.2">
      <c r="B150" s="105" t="s">
        <v>410</v>
      </c>
      <c r="C150" s="106">
        <v>446</v>
      </c>
      <c r="D150" s="106">
        <v>475</v>
      </c>
      <c r="E150" s="106">
        <v>454</v>
      </c>
      <c r="F150" s="106">
        <v>433</v>
      </c>
      <c r="G150" s="106">
        <v>450</v>
      </c>
      <c r="H150" s="106">
        <v>444</v>
      </c>
      <c r="I150" s="106">
        <v>515</v>
      </c>
      <c r="J150" s="106">
        <v>463</v>
      </c>
      <c r="K150" s="106">
        <v>381</v>
      </c>
      <c r="L150" s="106">
        <v>347</v>
      </c>
      <c r="M150" s="60"/>
    </row>
    <row r="151" spans="2:13" x14ac:dyDescent="0.2">
      <c r="B151" s="105" t="s">
        <v>411</v>
      </c>
      <c r="C151" s="106">
        <v>608</v>
      </c>
      <c r="D151" s="106">
        <v>658</v>
      </c>
      <c r="E151" s="106">
        <v>563</v>
      </c>
      <c r="F151" s="106">
        <v>562</v>
      </c>
      <c r="G151" s="106">
        <v>556</v>
      </c>
      <c r="H151" s="106">
        <v>480</v>
      </c>
      <c r="I151" s="106">
        <v>402</v>
      </c>
      <c r="J151" s="106">
        <v>349</v>
      </c>
      <c r="K151" s="106">
        <v>255</v>
      </c>
      <c r="L151" s="106">
        <v>190</v>
      </c>
      <c r="M151" s="60"/>
    </row>
    <row r="152" spans="2:13" x14ac:dyDescent="0.2">
      <c r="B152" s="105" t="s">
        <v>412</v>
      </c>
      <c r="C152" s="106">
        <v>855</v>
      </c>
      <c r="D152" s="106">
        <v>831</v>
      </c>
      <c r="E152" s="106">
        <v>816</v>
      </c>
      <c r="F152" s="106">
        <v>726</v>
      </c>
      <c r="G152" s="106">
        <v>636</v>
      </c>
      <c r="H152" s="106">
        <v>578</v>
      </c>
      <c r="I152" s="106">
        <v>513</v>
      </c>
      <c r="J152" s="106">
        <v>511</v>
      </c>
      <c r="K152" s="106">
        <v>492</v>
      </c>
      <c r="L152" s="106">
        <v>482</v>
      </c>
      <c r="M152" s="60"/>
    </row>
    <row r="153" spans="2:13" x14ac:dyDescent="0.2">
      <c r="B153" s="105" t="s">
        <v>413</v>
      </c>
      <c r="C153" s="106">
        <v>8133</v>
      </c>
      <c r="D153" s="106">
        <v>8728</v>
      </c>
      <c r="E153" s="106">
        <v>9229</v>
      </c>
      <c r="F153" s="106">
        <v>9846</v>
      </c>
      <c r="G153" s="106">
        <v>9983</v>
      </c>
      <c r="H153" s="106">
        <v>9993</v>
      </c>
      <c r="I153" s="106">
        <v>10000</v>
      </c>
      <c r="J153" s="106">
        <v>9715</v>
      </c>
      <c r="K153" s="106">
        <v>9415</v>
      </c>
      <c r="L153" s="106">
        <v>9031</v>
      </c>
      <c r="M153" s="60"/>
    </row>
    <row r="154" spans="2:13" x14ac:dyDescent="0.2">
      <c r="B154" s="105" t="s">
        <v>414</v>
      </c>
      <c r="C154" s="106">
        <v>2106</v>
      </c>
      <c r="D154" s="106">
        <v>2225</v>
      </c>
      <c r="E154" s="106">
        <v>1933</v>
      </c>
      <c r="F154" s="106">
        <v>1674</v>
      </c>
      <c r="G154" s="106">
        <v>1423</v>
      </c>
      <c r="H154" s="106">
        <v>1253</v>
      </c>
      <c r="I154" s="106">
        <v>1118</v>
      </c>
      <c r="J154" s="106">
        <v>1048</v>
      </c>
      <c r="K154" s="106">
        <v>1014</v>
      </c>
      <c r="L154" s="106">
        <v>1000</v>
      </c>
      <c r="M154" s="60"/>
    </row>
    <row r="155" spans="2:13" x14ac:dyDescent="0.2">
      <c r="B155" s="105" t="s">
        <v>416</v>
      </c>
      <c r="C155" s="106">
        <v>75</v>
      </c>
      <c r="D155" s="106">
        <v>165</v>
      </c>
      <c r="E155" s="106">
        <v>0</v>
      </c>
      <c r="F155" s="106">
        <v>27</v>
      </c>
      <c r="G155" s="106">
        <v>60</v>
      </c>
      <c r="H155" s="106">
        <v>92</v>
      </c>
      <c r="I155" s="106">
        <v>79</v>
      </c>
      <c r="J155" s="106">
        <v>82</v>
      </c>
      <c r="K155" s="106">
        <v>75</v>
      </c>
      <c r="L155" s="106">
        <v>62</v>
      </c>
      <c r="M155" s="60"/>
    </row>
    <row r="156" spans="2:13" x14ac:dyDescent="0.2">
      <c r="B156" s="105" t="s">
        <v>418</v>
      </c>
      <c r="C156" s="106">
        <v>1191</v>
      </c>
      <c r="D156" s="106">
        <v>1234</v>
      </c>
      <c r="E156" s="106">
        <v>1207</v>
      </c>
      <c r="F156" s="106">
        <v>1149</v>
      </c>
      <c r="G156" s="106">
        <v>1280</v>
      </c>
      <c r="H156" s="106">
        <v>868</v>
      </c>
      <c r="I156" s="106">
        <v>813</v>
      </c>
      <c r="J156" s="106">
        <v>822</v>
      </c>
      <c r="K156" s="106">
        <v>782</v>
      </c>
      <c r="L156" s="106">
        <v>840</v>
      </c>
      <c r="M156" s="60"/>
    </row>
    <row r="157" spans="2:13" x14ac:dyDescent="0.2">
      <c r="B157" s="105" t="s">
        <v>419</v>
      </c>
      <c r="C157" s="106">
        <v>131</v>
      </c>
      <c r="D157" s="106">
        <v>137</v>
      </c>
      <c r="E157" s="106">
        <v>115</v>
      </c>
      <c r="F157" s="106">
        <v>84</v>
      </c>
      <c r="G157" s="106">
        <v>54</v>
      </c>
      <c r="H157" s="106">
        <v>35</v>
      </c>
      <c r="I157" s="106">
        <v>27</v>
      </c>
      <c r="J157" s="106">
        <v>25</v>
      </c>
      <c r="K157" s="106">
        <v>29</v>
      </c>
      <c r="L157" s="106">
        <v>32</v>
      </c>
      <c r="M157" s="60"/>
    </row>
    <row r="158" spans="2:13" x14ac:dyDescent="0.2">
      <c r="B158" s="105" t="s">
        <v>420</v>
      </c>
      <c r="C158" s="106">
        <v>1899</v>
      </c>
      <c r="D158" s="106">
        <v>1754</v>
      </c>
      <c r="E158" s="106">
        <v>1526</v>
      </c>
      <c r="F158" s="106">
        <v>1412</v>
      </c>
      <c r="G158" s="106">
        <v>1319</v>
      </c>
      <c r="H158" s="106">
        <v>1169</v>
      </c>
      <c r="I158" s="106">
        <v>1099</v>
      </c>
      <c r="J158" s="106">
        <v>1042</v>
      </c>
      <c r="K158" s="106">
        <v>953</v>
      </c>
      <c r="L158" s="106">
        <v>947</v>
      </c>
      <c r="M158" s="15"/>
    </row>
    <row r="159" spans="2:13" x14ac:dyDescent="0.2">
      <c r="B159" s="105" t="s">
        <v>421</v>
      </c>
      <c r="C159" s="106">
        <v>561</v>
      </c>
      <c r="D159" s="106">
        <v>576</v>
      </c>
      <c r="E159" s="106">
        <v>599</v>
      </c>
      <c r="F159" s="106">
        <v>569</v>
      </c>
      <c r="G159" s="106">
        <v>593</v>
      </c>
      <c r="H159" s="106">
        <v>610</v>
      </c>
      <c r="I159" s="106">
        <v>653</v>
      </c>
      <c r="J159" s="106">
        <v>714</v>
      </c>
      <c r="K159" s="106">
        <v>712</v>
      </c>
      <c r="L159" s="106">
        <v>735</v>
      </c>
      <c r="M159" s="60"/>
    </row>
    <row r="160" spans="2:13" x14ac:dyDescent="0.2">
      <c r="B160" s="105" t="s">
        <v>423</v>
      </c>
      <c r="C160" s="106">
        <v>5519</v>
      </c>
      <c r="D160" s="106">
        <v>5555</v>
      </c>
      <c r="E160" s="106">
        <v>5321</v>
      </c>
      <c r="F160" s="106">
        <v>5290</v>
      </c>
      <c r="G160" s="106">
        <v>5118</v>
      </c>
      <c r="H160" s="106">
        <v>4786</v>
      </c>
      <c r="I160" s="106">
        <v>4403</v>
      </c>
      <c r="J160" s="106">
        <v>4421</v>
      </c>
      <c r="K160" s="106">
        <v>4070</v>
      </c>
      <c r="L160" s="106">
        <v>3877</v>
      </c>
      <c r="M160" s="60"/>
    </row>
    <row r="161" spans="2:12" x14ac:dyDescent="0.2">
      <c r="B161" s="105" t="s">
        <v>425</v>
      </c>
      <c r="C161" s="106">
        <v>0</v>
      </c>
      <c r="D161" s="106">
        <v>0</v>
      </c>
      <c r="E161" s="106">
        <v>0</v>
      </c>
      <c r="F161" s="106">
        <v>0</v>
      </c>
      <c r="G161" s="106">
        <v>0</v>
      </c>
      <c r="H161" s="106">
        <v>0</v>
      </c>
      <c r="I161" s="106">
        <v>0</v>
      </c>
      <c r="J161" s="106">
        <v>0</v>
      </c>
      <c r="K161" s="106">
        <v>133</v>
      </c>
      <c r="L161" s="106">
        <v>117</v>
      </c>
    </row>
    <row r="162" spans="2:12" x14ac:dyDescent="0.2">
      <c r="B162" s="105" t="s">
        <v>426</v>
      </c>
      <c r="C162" s="106">
        <v>2727</v>
      </c>
      <c r="D162" s="106">
        <v>2842</v>
      </c>
      <c r="E162" s="106">
        <v>2895</v>
      </c>
      <c r="F162" s="106">
        <v>2924</v>
      </c>
      <c r="G162" s="106">
        <v>2863</v>
      </c>
      <c r="H162" s="106">
        <v>2771</v>
      </c>
      <c r="I162" s="106">
        <v>2573</v>
      </c>
      <c r="J162" s="106">
        <v>2369</v>
      </c>
      <c r="K162" s="106">
        <v>2151</v>
      </c>
      <c r="L162" s="106">
        <v>1943</v>
      </c>
    </row>
    <row r="163" spans="2:12" x14ac:dyDescent="0.2">
      <c r="B163" s="105" t="s">
        <v>427</v>
      </c>
      <c r="C163" s="106">
        <v>3046</v>
      </c>
      <c r="D163" s="106">
        <v>3433</v>
      </c>
      <c r="E163" s="106">
        <v>3515</v>
      </c>
      <c r="F163" s="106">
        <v>3274</v>
      </c>
      <c r="G163" s="106">
        <v>3503</v>
      </c>
      <c r="H163" s="106">
        <v>3702</v>
      </c>
      <c r="I163" s="106">
        <v>3672</v>
      </c>
      <c r="J163" s="106">
        <v>3572</v>
      </c>
      <c r="K163" s="106">
        <v>3680</v>
      </c>
      <c r="L163" s="106">
        <v>3529</v>
      </c>
    </row>
    <row r="164" spans="2:12" x14ac:dyDescent="0.2">
      <c r="B164" s="105" t="s">
        <v>428</v>
      </c>
      <c r="C164" s="106">
        <v>5096</v>
      </c>
      <c r="D164" s="106">
        <v>5331</v>
      </c>
      <c r="E164" s="106">
        <v>5475</v>
      </c>
      <c r="F164" s="106">
        <v>5402</v>
      </c>
      <c r="G164" s="106">
        <v>5286</v>
      </c>
      <c r="H164" s="106">
        <v>5029</v>
      </c>
      <c r="I164" s="106">
        <v>4692</v>
      </c>
      <c r="J164" s="106">
        <v>4508</v>
      </c>
      <c r="K164" s="106">
        <v>4205</v>
      </c>
      <c r="L164" s="106">
        <v>4224</v>
      </c>
    </row>
    <row r="165" spans="2:12" x14ac:dyDescent="0.2">
      <c r="B165" s="105" t="s">
        <v>429</v>
      </c>
      <c r="C165" s="106">
        <v>1657</v>
      </c>
      <c r="D165" s="106">
        <v>1841</v>
      </c>
      <c r="E165" s="106">
        <v>2006</v>
      </c>
      <c r="F165" s="106">
        <v>2141</v>
      </c>
      <c r="G165" s="106">
        <v>2214</v>
      </c>
      <c r="H165" s="106">
        <v>2156</v>
      </c>
      <c r="I165" s="106">
        <v>2025</v>
      </c>
      <c r="J165" s="106">
        <v>1870</v>
      </c>
      <c r="K165" s="106">
        <v>1814</v>
      </c>
      <c r="L165" s="106">
        <v>1703</v>
      </c>
    </row>
    <row r="166" spans="2:12" x14ac:dyDescent="0.2">
      <c r="B166" s="105" t="s">
        <v>430</v>
      </c>
      <c r="C166" s="106">
        <v>221</v>
      </c>
      <c r="D166" s="106">
        <v>223</v>
      </c>
      <c r="E166" s="106">
        <v>255</v>
      </c>
      <c r="F166" s="106">
        <v>223</v>
      </c>
      <c r="G166" s="106">
        <v>216</v>
      </c>
      <c r="H166" s="106">
        <v>202</v>
      </c>
      <c r="I166" s="106">
        <v>163</v>
      </c>
      <c r="J166" s="106">
        <v>167</v>
      </c>
      <c r="K166" s="106">
        <v>0</v>
      </c>
      <c r="L166" s="106">
        <v>0</v>
      </c>
    </row>
    <row r="167" spans="2:12" x14ac:dyDescent="0.2">
      <c r="B167" s="107" t="s">
        <v>432</v>
      </c>
      <c r="C167" s="108">
        <v>0</v>
      </c>
      <c r="D167" s="108">
        <v>0</v>
      </c>
      <c r="E167" s="108">
        <v>0</v>
      </c>
      <c r="F167" s="108">
        <v>0</v>
      </c>
      <c r="G167" s="108">
        <v>0</v>
      </c>
      <c r="H167" s="108">
        <v>0</v>
      </c>
      <c r="I167" s="108">
        <v>0</v>
      </c>
      <c r="J167" s="108">
        <v>0</v>
      </c>
      <c r="K167" s="108">
        <v>1</v>
      </c>
      <c r="L167" s="108">
        <v>2</v>
      </c>
    </row>
    <row r="168" spans="2:12" x14ac:dyDescent="0.2">
      <c r="B168" s="27" t="s">
        <v>433</v>
      </c>
      <c r="C168" s="28">
        <v>6758</v>
      </c>
      <c r="D168" s="28">
        <v>6182</v>
      </c>
      <c r="E168" s="28">
        <v>6133</v>
      </c>
      <c r="F168" s="28">
        <v>6065</v>
      </c>
      <c r="G168" s="28">
        <v>5655</v>
      </c>
      <c r="H168" s="28">
        <v>5183</v>
      </c>
      <c r="I168" s="28">
        <v>4796</v>
      </c>
      <c r="J168" s="28">
        <v>4528</v>
      </c>
      <c r="K168" s="28">
        <v>4065</v>
      </c>
      <c r="L168" s="28">
        <v>3855</v>
      </c>
    </row>
    <row r="169" spans="2:12" x14ac:dyDescent="0.2">
      <c r="B169" s="27" t="s">
        <v>434</v>
      </c>
      <c r="C169" s="28">
        <v>11143</v>
      </c>
      <c r="D169" s="28">
        <v>11039</v>
      </c>
      <c r="E169" s="28">
        <v>10489</v>
      </c>
      <c r="F169" s="28">
        <v>9986</v>
      </c>
      <c r="G169" s="28">
        <v>8821</v>
      </c>
      <c r="H169" s="28">
        <v>8430</v>
      </c>
      <c r="I169" s="28">
        <v>7862</v>
      </c>
      <c r="J169" s="28">
        <v>6811</v>
      </c>
      <c r="K169" s="28">
        <v>6518</v>
      </c>
      <c r="L169" s="28">
        <v>6204</v>
      </c>
    </row>
    <row r="170" spans="2:12" ht="25.5" customHeight="1" x14ac:dyDescent="0.2">
      <c r="B170" s="27" t="s">
        <v>435</v>
      </c>
      <c r="C170" s="28">
        <v>5686</v>
      </c>
      <c r="D170" s="28">
        <v>5502</v>
      </c>
      <c r="E170" s="28">
        <v>5143</v>
      </c>
      <c r="F170" s="28">
        <v>4870</v>
      </c>
      <c r="G170" s="28">
        <v>4494</v>
      </c>
      <c r="H170" s="28">
        <v>4018</v>
      </c>
      <c r="I170" s="28">
        <v>3936</v>
      </c>
      <c r="J170" s="28">
        <v>3904</v>
      </c>
      <c r="K170" s="28">
        <v>3857</v>
      </c>
      <c r="L170" s="28">
        <v>3854</v>
      </c>
    </row>
    <row r="171" spans="2:12" x14ac:dyDescent="0.2">
      <c r="B171" s="20" t="s">
        <v>27</v>
      </c>
      <c r="C171" s="21">
        <f>SUBTOTAL(109,'Enrollment By Major Trend'!$C$138:$C$170)</f>
        <v>97547</v>
      </c>
      <c r="D171" s="21">
        <f>SUBTOTAL(109,'Enrollment By Major Trend'!$D$138:$D$170)</f>
        <v>98231</v>
      </c>
      <c r="E171" s="21">
        <f>SUBTOTAL(109,'Enrollment By Major Trend'!$E$138:$E$170)</f>
        <v>96174</v>
      </c>
      <c r="F171" s="21">
        <f>SUBTOTAL(109,'Enrollment By Major Trend'!$F$138:$F$170)</f>
        <v>94604</v>
      </c>
      <c r="G171" s="21">
        <f>SUBTOTAL(109,'Enrollment By Major Trend'!$G$138:$G$170)</f>
        <v>92292</v>
      </c>
      <c r="H171" s="21">
        <f>SUBTOTAL(109,'Enrollment By Major Trend'!$H$138:$H$170)</f>
        <v>89471</v>
      </c>
      <c r="I171" s="21">
        <f>SUBTOTAL(109,'Enrollment By Major Trend'!$I$138:$I$170)</f>
        <v>86549</v>
      </c>
      <c r="J171" s="21">
        <f>SUBTOTAL(109,'Enrollment By Major Trend'!$J$138:$J$170)</f>
        <v>83540</v>
      </c>
      <c r="K171" s="21">
        <f>SUBTOTAL(109,'Enrollment By Major Trend'!$K$138:$K$170)</f>
        <v>79525</v>
      </c>
      <c r="L171" s="21">
        <f>SUBTOTAL(109,'Enrollment By Major Trend'!$L$138:$L$170)</f>
        <v>76636</v>
      </c>
    </row>
    <row r="172" spans="2:12" x14ac:dyDescent="0.2">
      <c r="B172" s="20"/>
      <c r="C172" s="21"/>
      <c r="D172" s="21"/>
      <c r="E172" s="21"/>
      <c r="F172" s="21"/>
      <c r="G172" s="21"/>
      <c r="H172" s="21"/>
      <c r="I172" s="21"/>
      <c r="J172" s="21"/>
      <c r="K172" s="21"/>
      <c r="L172" s="21"/>
    </row>
  </sheetData>
  <mergeCells count="5">
    <mergeCell ref="B89:L89"/>
    <mergeCell ref="B1:L1"/>
    <mergeCell ref="B2:L2"/>
    <mergeCell ref="B49:L49"/>
    <mergeCell ref="B135:L135"/>
  </mergeCells>
  <printOptions horizontalCentered="1"/>
  <pageMargins left="0.5" right="0.5" top="1" bottom="0.5" header="0.3" footer="0.3"/>
  <pageSetup scale="51" fitToHeight="0" orientation="portrait" r:id="rId1"/>
  <headerFooter>
    <oddHeader>&amp;L&amp;"Arial,Regular"&amp;10Pennsylvania's State System of Higher Education | &amp;D
Office of Educational Intelligence | Page &amp;P of &amp;N</oddHeader>
  </headerFooter>
  <rowBreaks count="1" manualBreakCount="1">
    <brk id="88" min="1" max="11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B1:M173"/>
  <sheetViews>
    <sheetView zoomScaleNormal="100" workbookViewId="0">
      <selection activeCell="B29" sqref="B29"/>
    </sheetView>
  </sheetViews>
  <sheetFormatPr defaultRowHeight="14.25" x14ac:dyDescent="0.2"/>
  <cols>
    <col min="1" max="1" width="9.140625" style="5"/>
    <col min="2" max="2" width="41.85546875" style="5" customWidth="1"/>
    <col min="3" max="12" width="14.28515625" style="5" customWidth="1"/>
    <col min="13" max="16384" width="9.140625" style="5"/>
  </cols>
  <sheetData>
    <row r="1" spans="2:13" ht="15" x14ac:dyDescent="0.2">
      <c r="B1" s="126" t="s">
        <v>0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97"/>
    </row>
    <row r="2" spans="2:13" ht="15" x14ac:dyDescent="0.2">
      <c r="B2" s="127" t="str">
        <f>CONCATENATE("Total Number of Enrollments by Major* ",  IF(RIGHT(Parameters!B1,1) = "1","Fall ", "Spring "),IF(RIGHT(Parameters!B1,1)  = "1",LEFT(Parameters!B1,4) -9, LEFT(Parameters!B1,4)-8 ),"-",IF(RIGHT(Parameters!B1,1)  = "1",LEFT(Parameters!B1,4), LEFT(Parameters!B1,4)+1 ))</f>
        <v>Total Number of Enrollments by Major* Fall 2010-2019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98"/>
    </row>
    <row r="3" spans="2:13" ht="30.95" customHeight="1" x14ac:dyDescent="0.2">
      <c r="B3" s="52" t="s">
        <v>397</v>
      </c>
      <c r="C3" s="52" t="str">
        <f>CONCATENATE(IF(RIGHT(Parameters!B1,1) = "1","Fall ", "Spring "),IF(RIGHT(Parameters!B1,1) = "1",LEFT(Parameters!B1,4) -9, LEFT(Parameters!B1,4) - 8))</f>
        <v>Fall 2010</v>
      </c>
      <c r="D3" s="52" t="str">
        <f>CONCATENATE(IF(RIGHT(Parameters!B1,1) = "1","Fall ", "Spring "),IF(RIGHT(Parameters!B1,1) = "1",LEFT(Parameters!B1,4) -8, LEFT(Parameters!B1,4) - 7))</f>
        <v>Fall 2011</v>
      </c>
      <c r="E3" s="52" t="str">
        <f>CONCATENATE(IF(RIGHT(Parameters!B1,1) = "1","Fall ", "Spring "),IF(RIGHT(Parameters!B1,1) = "1",LEFT(Parameters!B1,4) -7, LEFT(Parameters!B1,4) - 6))</f>
        <v>Fall 2012</v>
      </c>
      <c r="F3" s="52" t="str">
        <f>CONCATENATE(IF(RIGHT(Parameters!B1,1) = "1","Fall ", "Spring "),IF(RIGHT(Parameters!B1,1) = "1",LEFT(Parameters!B1,4) -6, LEFT(Parameters!B1,4) - 5))</f>
        <v>Fall 2013</v>
      </c>
      <c r="G3" s="52" t="str">
        <f>CONCATENATE(IF(RIGHT(Parameters!B1,1) = "1","Fall ", "Spring "),IF(RIGHT(Parameters!B1,1) = "1",LEFT(Parameters!B1,4) -5, LEFT(Parameters!B1,4) - 4))</f>
        <v>Fall 2014</v>
      </c>
      <c r="H3" s="52" t="str">
        <f>CONCATENATE(IF(RIGHT(Parameters!B1,1) = "1","Fall ", "Spring "),IF(RIGHT(Parameters!B1,1) = "1",LEFT(Parameters!B1,4) -4, LEFT(Parameters!B1,4) - 3))</f>
        <v>Fall 2015</v>
      </c>
      <c r="I3" s="52" t="str">
        <f>CONCATENATE(IF(RIGHT(Parameters!B1,1) = "1","Fall ", "Spring "),IF(RIGHT(Parameters!B1,1) = "1",LEFT(Parameters!B1,4) -3, LEFT(Parameters!B1,4) -2 ))</f>
        <v>Fall 2016</v>
      </c>
      <c r="J3" s="52" t="str">
        <f>CONCATENATE(IF(RIGHT(Parameters!B1,1) = "1","Fall ", "Spring "),IF(RIGHT(Parameters!B1,1) = "1",LEFT(Parameters!B1,4) -2, LEFT(Parameters!B1,4) -1 ))</f>
        <v>Fall 2017</v>
      </c>
      <c r="K3" s="52" t="str">
        <f>CONCATENATE(IF(RIGHT(Parameters!B1,1) = "1","Fall ", "Spring "),IF(RIGHT(Parameters!B1,1) = "1",LEFT(Parameters!B1,4) -1, LEFT(Parameters!B1,4)  ))</f>
        <v>Fall 2018</v>
      </c>
      <c r="L3" s="52" t="str">
        <f>CONCATENATE(IF(RIGHT(Parameters!B1,1) = "1","Fall ", "Spring "),IF(RIGHT(Parameters!B1,1) = "1",LEFT(Parameters!B1,4), LEFT(Parameters!B1,4) + 1))</f>
        <v>Fall 2019</v>
      </c>
      <c r="M3" s="60"/>
    </row>
    <row r="4" spans="2:13" ht="15" hidden="1" customHeight="1" x14ac:dyDescent="0.2">
      <c r="B4" s="122" t="s">
        <v>397</v>
      </c>
      <c r="C4" s="64" t="s">
        <v>3</v>
      </c>
      <c r="D4" s="64" t="s">
        <v>4</v>
      </c>
      <c r="E4" s="64" t="s">
        <v>5</v>
      </c>
      <c r="F4" s="64" t="s">
        <v>6</v>
      </c>
      <c r="G4" s="64" t="s">
        <v>7</v>
      </c>
      <c r="H4" s="64" t="s">
        <v>8</v>
      </c>
      <c r="I4" s="64" t="s">
        <v>9</v>
      </c>
      <c r="J4" s="64" t="s">
        <v>10</v>
      </c>
      <c r="K4" s="64" t="s">
        <v>11</v>
      </c>
      <c r="L4" s="123" t="s">
        <v>12</v>
      </c>
      <c r="M4" s="60"/>
    </row>
    <row r="5" spans="2:13" x14ac:dyDescent="0.2">
      <c r="B5" s="105" t="s">
        <v>398</v>
      </c>
      <c r="C5" s="106">
        <v>0</v>
      </c>
      <c r="D5" s="106">
        <v>0</v>
      </c>
      <c r="E5" s="106">
        <v>0</v>
      </c>
      <c r="F5" s="106">
        <v>0</v>
      </c>
      <c r="G5" s="106">
        <v>0</v>
      </c>
      <c r="H5" s="106">
        <v>0</v>
      </c>
      <c r="I5" s="106">
        <v>0</v>
      </c>
      <c r="J5" s="106">
        <v>0</v>
      </c>
      <c r="K5" s="106">
        <v>13</v>
      </c>
      <c r="L5" s="106">
        <v>0</v>
      </c>
      <c r="M5" s="60"/>
    </row>
    <row r="6" spans="2:13" x14ac:dyDescent="0.2">
      <c r="B6" s="105" t="s">
        <v>399</v>
      </c>
      <c r="C6" s="106">
        <v>36</v>
      </c>
      <c r="D6" s="106">
        <v>36</v>
      </c>
      <c r="E6" s="106">
        <v>48</v>
      </c>
      <c r="F6" s="106">
        <v>48</v>
      </c>
      <c r="G6" s="106">
        <v>47</v>
      </c>
      <c r="H6" s="106">
        <v>47</v>
      </c>
      <c r="I6" s="106">
        <v>44</v>
      </c>
      <c r="J6" s="106">
        <v>71</v>
      </c>
      <c r="K6" s="106">
        <v>95</v>
      </c>
      <c r="L6" s="106">
        <v>88</v>
      </c>
      <c r="M6" s="60"/>
    </row>
    <row r="7" spans="2:13" x14ac:dyDescent="0.2">
      <c r="B7" s="105" t="s">
        <v>400</v>
      </c>
      <c r="C7" s="106">
        <v>117</v>
      </c>
      <c r="D7" s="106">
        <v>120</v>
      </c>
      <c r="E7" s="106">
        <v>122</v>
      </c>
      <c r="F7" s="106">
        <v>148</v>
      </c>
      <c r="G7" s="106">
        <v>146</v>
      </c>
      <c r="H7" s="106">
        <v>131</v>
      </c>
      <c r="I7" s="106">
        <v>117</v>
      </c>
      <c r="J7" s="106">
        <v>114</v>
      </c>
      <c r="K7" s="106">
        <v>102</v>
      </c>
      <c r="L7" s="106">
        <v>89</v>
      </c>
      <c r="M7" s="60"/>
    </row>
    <row r="8" spans="2:13" x14ac:dyDescent="0.2">
      <c r="B8" s="105" t="s">
        <v>402</v>
      </c>
      <c r="C8" s="106">
        <v>13820</v>
      </c>
      <c r="D8" s="106">
        <v>13632</v>
      </c>
      <c r="E8" s="106">
        <v>14187</v>
      </c>
      <c r="F8" s="106">
        <v>14839</v>
      </c>
      <c r="G8" s="106">
        <v>16004</v>
      </c>
      <c r="H8" s="106">
        <v>16325</v>
      </c>
      <c r="I8" s="106">
        <v>16392</v>
      </c>
      <c r="J8" s="106">
        <v>16165</v>
      </c>
      <c r="K8" s="106">
        <v>15254</v>
      </c>
      <c r="L8" s="106">
        <v>14240</v>
      </c>
      <c r="M8" s="60"/>
    </row>
    <row r="9" spans="2:13" x14ac:dyDescent="0.2">
      <c r="B9" s="105" t="s">
        <v>403</v>
      </c>
      <c r="C9" s="106">
        <v>123</v>
      </c>
      <c r="D9" s="106">
        <v>123</v>
      </c>
      <c r="E9" s="106">
        <v>116</v>
      </c>
      <c r="F9" s="106">
        <v>126</v>
      </c>
      <c r="G9" s="106">
        <v>114</v>
      </c>
      <c r="H9" s="106">
        <v>126</v>
      </c>
      <c r="I9" s="106">
        <v>143</v>
      </c>
      <c r="J9" s="106">
        <v>153</v>
      </c>
      <c r="K9" s="106">
        <v>140</v>
      </c>
      <c r="L9" s="106">
        <v>135</v>
      </c>
      <c r="M9" s="60"/>
    </row>
    <row r="10" spans="2:13" x14ac:dyDescent="0.2">
      <c r="B10" s="105" t="s">
        <v>404</v>
      </c>
      <c r="C10" s="106">
        <v>3608</v>
      </c>
      <c r="D10" s="106">
        <v>3603</v>
      </c>
      <c r="E10" s="106">
        <v>3706</v>
      </c>
      <c r="F10" s="106">
        <v>3628</v>
      </c>
      <c r="G10" s="106">
        <v>3528</v>
      </c>
      <c r="H10" s="106">
        <v>3311</v>
      </c>
      <c r="I10" s="106">
        <v>3618</v>
      </c>
      <c r="J10" s="106">
        <v>3333</v>
      </c>
      <c r="K10" s="106">
        <v>2974</v>
      </c>
      <c r="L10" s="106">
        <v>2958</v>
      </c>
      <c r="M10" s="60"/>
    </row>
    <row r="11" spans="2:13" x14ac:dyDescent="0.2">
      <c r="B11" s="105" t="s">
        <v>405</v>
      </c>
      <c r="C11" s="106">
        <v>155</v>
      </c>
      <c r="D11" s="106">
        <v>162</v>
      </c>
      <c r="E11" s="106">
        <v>176</v>
      </c>
      <c r="F11" s="106">
        <v>203</v>
      </c>
      <c r="G11" s="106">
        <v>0</v>
      </c>
      <c r="H11" s="106">
        <v>0</v>
      </c>
      <c r="I11" s="106">
        <v>0</v>
      </c>
      <c r="J11" s="106">
        <v>0</v>
      </c>
      <c r="K11" s="106">
        <v>0</v>
      </c>
      <c r="L11" s="106">
        <v>0</v>
      </c>
      <c r="M11" s="60"/>
    </row>
    <row r="12" spans="2:13" x14ac:dyDescent="0.2">
      <c r="B12" s="105" t="s">
        <v>406</v>
      </c>
      <c r="C12" s="106">
        <v>17402</v>
      </c>
      <c r="D12" s="106">
        <v>16406</v>
      </c>
      <c r="E12" s="106">
        <v>13844</v>
      </c>
      <c r="F12" s="106">
        <v>12413</v>
      </c>
      <c r="G12" s="106">
        <v>11507</v>
      </c>
      <c r="H12" s="106">
        <v>11425</v>
      </c>
      <c r="I12" s="106">
        <v>11529</v>
      </c>
      <c r="J12" s="106">
        <v>11566</v>
      </c>
      <c r="K12" s="106">
        <v>11878</v>
      </c>
      <c r="L12" s="106">
        <v>12009</v>
      </c>
      <c r="M12" s="60"/>
    </row>
    <row r="13" spans="2:13" x14ac:dyDescent="0.2">
      <c r="B13" s="105" t="s">
        <v>408</v>
      </c>
      <c r="C13" s="106">
        <v>366</v>
      </c>
      <c r="D13" s="106">
        <v>292</v>
      </c>
      <c r="E13" s="106">
        <v>249</v>
      </c>
      <c r="F13" s="106">
        <v>290</v>
      </c>
      <c r="G13" s="106">
        <v>0</v>
      </c>
      <c r="H13" s="106">
        <v>0</v>
      </c>
      <c r="I13" s="106">
        <v>143</v>
      </c>
      <c r="J13" s="106">
        <v>79</v>
      </c>
      <c r="K13" s="106">
        <v>68</v>
      </c>
      <c r="L13" s="106">
        <v>65</v>
      </c>
      <c r="M13" s="60"/>
    </row>
    <row r="14" spans="2:13" x14ac:dyDescent="0.2">
      <c r="B14" s="105" t="s">
        <v>409</v>
      </c>
      <c r="C14" s="106">
        <v>4887</v>
      </c>
      <c r="D14" s="106">
        <v>4907</v>
      </c>
      <c r="E14" s="106">
        <v>4295</v>
      </c>
      <c r="F14" s="106">
        <v>4071</v>
      </c>
      <c r="G14" s="106">
        <v>3797</v>
      </c>
      <c r="H14" s="106">
        <v>3477</v>
      </c>
      <c r="I14" s="106">
        <v>2950</v>
      </c>
      <c r="J14" s="106">
        <v>2903</v>
      </c>
      <c r="K14" s="106">
        <v>2705</v>
      </c>
      <c r="L14" s="106">
        <v>2555</v>
      </c>
      <c r="M14" s="60"/>
    </row>
    <row r="15" spans="2:13" x14ac:dyDescent="0.2">
      <c r="B15" s="105" t="s">
        <v>410</v>
      </c>
      <c r="C15" s="106">
        <v>488</v>
      </c>
      <c r="D15" s="106">
        <v>532</v>
      </c>
      <c r="E15" s="106">
        <v>185</v>
      </c>
      <c r="F15" s="106">
        <v>193</v>
      </c>
      <c r="G15" s="106">
        <v>0</v>
      </c>
      <c r="H15" s="106">
        <v>0</v>
      </c>
      <c r="I15" s="106">
        <v>0</v>
      </c>
      <c r="J15" s="106">
        <v>0</v>
      </c>
      <c r="K15" s="106">
        <v>0</v>
      </c>
      <c r="L15" s="106">
        <v>0</v>
      </c>
      <c r="M15" s="60"/>
    </row>
    <row r="16" spans="2:13" x14ac:dyDescent="0.2">
      <c r="B16" s="105" t="s">
        <v>411</v>
      </c>
      <c r="C16" s="106">
        <v>632</v>
      </c>
      <c r="D16" s="106">
        <v>678</v>
      </c>
      <c r="E16" s="106">
        <v>584</v>
      </c>
      <c r="F16" s="106">
        <v>593</v>
      </c>
      <c r="G16" s="106">
        <v>590</v>
      </c>
      <c r="H16" s="106">
        <v>521</v>
      </c>
      <c r="I16" s="106">
        <v>497</v>
      </c>
      <c r="J16" s="106">
        <v>473</v>
      </c>
      <c r="K16" s="106">
        <v>366</v>
      </c>
      <c r="L16" s="106">
        <v>310</v>
      </c>
      <c r="M16" s="60"/>
    </row>
    <row r="17" spans="2:12" x14ac:dyDescent="0.2">
      <c r="B17" s="105" t="s">
        <v>412</v>
      </c>
      <c r="C17" s="106">
        <v>890</v>
      </c>
      <c r="D17" s="106">
        <v>863</v>
      </c>
      <c r="E17" s="106">
        <v>861</v>
      </c>
      <c r="F17" s="106">
        <v>782</v>
      </c>
      <c r="G17" s="106">
        <v>686</v>
      </c>
      <c r="H17" s="106">
        <v>624</v>
      </c>
      <c r="I17" s="106">
        <v>574</v>
      </c>
      <c r="J17" s="106">
        <v>579</v>
      </c>
      <c r="K17" s="106">
        <v>557</v>
      </c>
      <c r="L17" s="106">
        <v>542</v>
      </c>
    </row>
    <row r="18" spans="2:12" x14ac:dyDescent="0.2">
      <c r="B18" s="105" t="s">
        <v>413</v>
      </c>
      <c r="C18" s="106">
        <v>10607</v>
      </c>
      <c r="D18" s="106">
        <v>11219</v>
      </c>
      <c r="E18" s="106">
        <v>11703</v>
      </c>
      <c r="F18" s="106">
        <v>12422</v>
      </c>
      <c r="G18" s="106">
        <v>12519</v>
      </c>
      <c r="H18" s="106">
        <v>12752</v>
      </c>
      <c r="I18" s="106">
        <v>12842</v>
      </c>
      <c r="J18" s="106">
        <v>12785</v>
      </c>
      <c r="K18" s="106">
        <v>12573</v>
      </c>
      <c r="L18" s="106">
        <v>12251</v>
      </c>
    </row>
    <row r="19" spans="2:12" x14ac:dyDescent="0.2">
      <c r="B19" s="105" t="s">
        <v>414</v>
      </c>
      <c r="C19" s="106">
        <v>2304</v>
      </c>
      <c r="D19" s="106">
        <v>2418</v>
      </c>
      <c r="E19" s="106">
        <v>2107</v>
      </c>
      <c r="F19" s="106">
        <v>1837</v>
      </c>
      <c r="G19" s="106">
        <v>1581</v>
      </c>
      <c r="H19" s="106">
        <v>1413</v>
      </c>
      <c r="I19" s="106">
        <v>1257</v>
      </c>
      <c r="J19" s="106">
        <v>1173</v>
      </c>
      <c r="K19" s="106">
        <v>1129</v>
      </c>
      <c r="L19" s="106">
        <v>1117</v>
      </c>
    </row>
    <row r="20" spans="2:12" x14ac:dyDescent="0.2">
      <c r="B20" s="105" t="s">
        <v>415</v>
      </c>
      <c r="C20" s="106">
        <v>0</v>
      </c>
      <c r="D20" s="106">
        <v>0</v>
      </c>
      <c r="E20" s="106">
        <v>0</v>
      </c>
      <c r="F20" s="106">
        <v>70</v>
      </c>
      <c r="G20" s="106">
        <v>70</v>
      </c>
      <c r="H20" s="106">
        <v>79</v>
      </c>
      <c r="I20" s="106">
        <v>46</v>
      </c>
      <c r="J20" s="106">
        <v>0</v>
      </c>
      <c r="K20" s="106">
        <v>0</v>
      </c>
      <c r="L20" s="106">
        <v>0</v>
      </c>
    </row>
    <row r="21" spans="2:12" x14ac:dyDescent="0.2">
      <c r="B21" s="105" t="s">
        <v>416</v>
      </c>
      <c r="C21" s="106">
        <v>182</v>
      </c>
      <c r="D21" s="106">
        <v>353</v>
      </c>
      <c r="E21" s="106">
        <v>166</v>
      </c>
      <c r="F21" s="106">
        <v>169</v>
      </c>
      <c r="G21" s="106">
        <v>180</v>
      </c>
      <c r="H21" s="106">
        <v>192</v>
      </c>
      <c r="I21" s="106">
        <v>159</v>
      </c>
      <c r="J21" s="106">
        <v>158</v>
      </c>
      <c r="K21" s="106">
        <v>146</v>
      </c>
      <c r="L21" s="106">
        <v>129</v>
      </c>
    </row>
    <row r="22" spans="2:12" x14ac:dyDescent="0.2">
      <c r="B22" s="105" t="s">
        <v>417</v>
      </c>
      <c r="C22" s="106">
        <v>0</v>
      </c>
      <c r="D22" s="106">
        <v>0</v>
      </c>
      <c r="E22" s="106">
        <v>0</v>
      </c>
      <c r="F22" s="106">
        <v>0</v>
      </c>
      <c r="G22" s="106">
        <v>0</v>
      </c>
      <c r="H22" s="106">
        <v>0</v>
      </c>
      <c r="I22" s="106">
        <v>0</v>
      </c>
      <c r="J22" s="106">
        <v>1</v>
      </c>
      <c r="K22" s="106">
        <v>0</v>
      </c>
      <c r="L22" s="106">
        <v>0</v>
      </c>
    </row>
    <row r="23" spans="2:12" x14ac:dyDescent="0.2">
      <c r="B23" s="105" t="s">
        <v>418</v>
      </c>
      <c r="C23" s="106">
        <v>1841</v>
      </c>
      <c r="D23" s="106">
        <v>1840</v>
      </c>
      <c r="E23" s="106">
        <v>1750</v>
      </c>
      <c r="F23" s="106">
        <v>1444</v>
      </c>
      <c r="G23" s="106">
        <v>1742</v>
      </c>
      <c r="H23" s="106">
        <v>1383</v>
      </c>
      <c r="I23" s="106">
        <v>1319</v>
      </c>
      <c r="J23" s="106">
        <v>1263</v>
      </c>
      <c r="K23" s="106">
        <v>1028</v>
      </c>
      <c r="L23" s="106">
        <v>1057</v>
      </c>
    </row>
    <row r="24" spans="2:12" x14ac:dyDescent="0.2">
      <c r="B24" s="105" t="s">
        <v>419</v>
      </c>
      <c r="C24" s="106">
        <v>719</v>
      </c>
      <c r="D24" s="106">
        <v>831</v>
      </c>
      <c r="E24" s="106">
        <v>730</v>
      </c>
      <c r="F24" s="106">
        <v>583</v>
      </c>
      <c r="G24" s="106">
        <v>479</v>
      </c>
      <c r="H24" s="106">
        <v>388</v>
      </c>
      <c r="I24" s="106">
        <v>398</v>
      </c>
      <c r="J24" s="106">
        <v>385</v>
      </c>
      <c r="K24" s="106">
        <v>429</v>
      </c>
      <c r="L24" s="106">
        <v>456</v>
      </c>
    </row>
    <row r="25" spans="2:12" x14ac:dyDescent="0.2">
      <c r="B25" s="105" t="s">
        <v>420</v>
      </c>
      <c r="C25" s="106">
        <v>9</v>
      </c>
      <c r="D25" s="106">
        <v>4</v>
      </c>
      <c r="E25" s="106">
        <v>2</v>
      </c>
      <c r="F25" s="106">
        <v>0</v>
      </c>
      <c r="G25" s="106">
        <v>0</v>
      </c>
      <c r="H25" s="106">
        <v>0</v>
      </c>
      <c r="I25" s="106">
        <v>0</v>
      </c>
      <c r="J25" s="106">
        <v>0</v>
      </c>
      <c r="K25" s="106">
        <v>1</v>
      </c>
      <c r="L25" s="106">
        <v>0</v>
      </c>
    </row>
    <row r="26" spans="2:12" x14ac:dyDescent="0.2">
      <c r="B26" s="105" t="s">
        <v>421</v>
      </c>
      <c r="C26" s="106">
        <v>676</v>
      </c>
      <c r="D26" s="106">
        <v>690</v>
      </c>
      <c r="E26" s="106">
        <v>165</v>
      </c>
      <c r="F26" s="106">
        <v>187</v>
      </c>
      <c r="G26" s="106">
        <v>223</v>
      </c>
      <c r="H26" s="106">
        <v>264</v>
      </c>
      <c r="I26" s="106">
        <v>306</v>
      </c>
      <c r="J26" s="106">
        <v>335</v>
      </c>
      <c r="K26" s="106">
        <v>389</v>
      </c>
      <c r="L26" s="106">
        <v>458</v>
      </c>
    </row>
    <row r="27" spans="2:12" x14ac:dyDescent="0.2">
      <c r="B27" s="105" t="s">
        <v>422</v>
      </c>
      <c r="C27" s="106">
        <v>4544</v>
      </c>
      <c r="D27" s="106">
        <v>3299</v>
      </c>
      <c r="E27" s="106">
        <v>2607</v>
      </c>
      <c r="F27" s="106">
        <v>2265</v>
      </c>
      <c r="G27" s="106">
        <v>1846</v>
      </c>
      <c r="H27" s="106">
        <v>1838</v>
      </c>
      <c r="I27" s="106">
        <v>1916</v>
      </c>
      <c r="J27" s="106">
        <v>2080</v>
      </c>
      <c r="K27" s="106">
        <v>1924</v>
      </c>
      <c r="L27" s="106">
        <v>2348</v>
      </c>
    </row>
    <row r="28" spans="2:12" x14ac:dyDescent="0.2">
      <c r="B28" s="105" t="s">
        <v>423</v>
      </c>
      <c r="C28" s="106">
        <v>6443</v>
      </c>
      <c r="D28" s="106">
        <v>6523</v>
      </c>
      <c r="E28" s="106">
        <v>6315</v>
      </c>
      <c r="F28" s="106">
        <v>6261</v>
      </c>
      <c r="G28" s="106">
        <v>6169</v>
      </c>
      <c r="H28" s="106">
        <v>5811</v>
      </c>
      <c r="I28" s="106">
        <v>5366</v>
      </c>
      <c r="J28" s="106">
        <v>5345</v>
      </c>
      <c r="K28" s="106">
        <v>4864</v>
      </c>
      <c r="L28" s="106">
        <v>4592</v>
      </c>
    </row>
    <row r="29" spans="2:12" x14ac:dyDescent="0.2">
      <c r="B29" s="105" t="s">
        <v>424</v>
      </c>
      <c r="C29" s="106">
        <v>0</v>
      </c>
      <c r="D29" s="106">
        <v>0</v>
      </c>
      <c r="E29" s="106">
        <v>0</v>
      </c>
      <c r="F29" s="106">
        <v>0</v>
      </c>
      <c r="G29" s="106">
        <v>0</v>
      </c>
      <c r="H29" s="106">
        <v>0</v>
      </c>
      <c r="I29" s="106">
        <v>0</v>
      </c>
      <c r="J29" s="106">
        <v>0</v>
      </c>
      <c r="K29" s="106">
        <v>3</v>
      </c>
      <c r="L29" s="106">
        <v>1</v>
      </c>
    </row>
    <row r="30" spans="2:12" x14ac:dyDescent="0.2">
      <c r="B30" s="105" t="s">
        <v>425</v>
      </c>
      <c r="C30" s="106">
        <v>0</v>
      </c>
      <c r="D30" s="106">
        <v>0</v>
      </c>
      <c r="E30" s="106">
        <v>0</v>
      </c>
      <c r="F30" s="106">
        <v>0</v>
      </c>
      <c r="G30" s="106">
        <v>0</v>
      </c>
      <c r="H30" s="106">
        <v>0</v>
      </c>
      <c r="I30" s="106">
        <v>0</v>
      </c>
      <c r="J30" s="106">
        <v>0</v>
      </c>
      <c r="K30" s="106">
        <v>153</v>
      </c>
      <c r="L30" s="106">
        <v>137</v>
      </c>
    </row>
    <row r="31" spans="2:12" x14ac:dyDescent="0.2">
      <c r="B31" s="105" t="s">
        <v>426</v>
      </c>
      <c r="C31" s="106">
        <v>17</v>
      </c>
      <c r="D31" s="106">
        <v>14</v>
      </c>
      <c r="E31" s="106">
        <v>8</v>
      </c>
      <c r="F31" s="106">
        <v>32</v>
      </c>
      <c r="G31" s="106">
        <v>0</v>
      </c>
      <c r="H31" s="106">
        <v>0</v>
      </c>
      <c r="I31" s="106">
        <v>0</v>
      </c>
      <c r="J31" s="106">
        <v>0</v>
      </c>
      <c r="K31" s="106">
        <v>0</v>
      </c>
      <c r="L31" s="106">
        <v>0</v>
      </c>
    </row>
    <row r="32" spans="2:12" x14ac:dyDescent="0.2">
      <c r="B32" s="105" t="s">
        <v>427</v>
      </c>
      <c r="C32" s="106">
        <v>3457</v>
      </c>
      <c r="D32" s="106">
        <v>3797</v>
      </c>
      <c r="E32" s="106">
        <v>3849</v>
      </c>
      <c r="F32" s="106">
        <v>3596</v>
      </c>
      <c r="G32" s="106">
        <v>3661</v>
      </c>
      <c r="H32" s="106">
        <v>3821</v>
      </c>
      <c r="I32" s="106">
        <v>3778</v>
      </c>
      <c r="J32" s="106">
        <v>3647</v>
      </c>
      <c r="K32" s="106">
        <v>3716</v>
      </c>
      <c r="L32" s="106">
        <v>3570</v>
      </c>
    </row>
    <row r="33" spans="2:13" x14ac:dyDescent="0.2">
      <c r="B33" s="105" t="s">
        <v>428</v>
      </c>
      <c r="C33" s="106">
        <v>5834</v>
      </c>
      <c r="D33" s="106">
        <v>6100</v>
      </c>
      <c r="E33" s="106">
        <v>6262</v>
      </c>
      <c r="F33" s="106">
        <v>6199</v>
      </c>
      <c r="G33" s="106">
        <v>5777</v>
      </c>
      <c r="H33" s="106">
        <v>5410</v>
      </c>
      <c r="I33" s="106">
        <v>5069</v>
      </c>
      <c r="J33" s="106">
        <v>4875</v>
      </c>
      <c r="K33" s="106">
        <v>4615</v>
      </c>
      <c r="L33" s="106">
        <v>4615</v>
      </c>
      <c r="M33" s="60"/>
    </row>
    <row r="34" spans="2:13" x14ac:dyDescent="0.2">
      <c r="B34" s="105" t="s">
        <v>429</v>
      </c>
      <c r="C34" s="106">
        <v>2417</v>
      </c>
      <c r="D34" s="106">
        <v>2691</v>
      </c>
      <c r="E34" s="106">
        <v>2874</v>
      </c>
      <c r="F34" s="106">
        <v>3073</v>
      </c>
      <c r="G34" s="106">
        <v>3323</v>
      </c>
      <c r="H34" s="106">
        <v>3456</v>
      </c>
      <c r="I34" s="106">
        <v>3456</v>
      </c>
      <c r="J34" s="106">
        <v>3273</v>
      </c>
      <c r="K34" s="106">
        <v>3243</v>
      </c>
      <c r="L34" s="106">
        <v>3113</v>
      </c>
      <c r="M34" s="60"/>
    </row>
    <row r="35" spans="2:13" x14ac:dyDescent="0.2">
      <c r="B35" s="105" t="s">
        <v>430</v>
      </c>
      <c r="C35" s="106">
        <v>259</v>
      </c>
      <c r="D35" s="106">
        <v>262</v>
      </c>
      <c r="E35" s="106">
        <v>298</v>
      </c>
      <c r="F35" s="106">
        <v>247</v>
      </c>
      <c r="G35" s="106">
        <v>248</v>
      </c>
      <c r="H35" s="106">
        <v>228</v>
      </c>
      <c r="I35" s="106">
        <v>188</v>
      </c>
      <c r="J35" s="106">
        <v>194</v>
      </c>
      <c r="K35" s="106">
        <v>0</v>
      </c>
      <c r="L35" s="106">
        <v>0</v>
      </c>
      <c r="M35" s="60"/>
    </row>
    <row r="36" spans="2:13" x14ac:dyDescent="0.2">
      <c r="B36" s="105" t="s">
        <v>431</v>
      </c>
      <c r="C36" s="106">
        <v>0</v>
      </c>
      <c r="D36" s="106">
        <v>0</v>
      </c>
      <c r="E36" s="106">
        <v>0</v>
      </c>
      <c r="F36" s="106">
        <v>0</v>
      </c>
      <c r="G36" s="106">
        <v>0</v>
      </c>
      <c r="H36" s="106">
        <v>0</v>
      </c>
      <c r="I36" s="106">
        <v>0</v>
      </c>
      <c r="J36" s="106">
        <v>44</v>
      </c>
      <c r="K36" s="106">
        <v>82</v>
      </c>
      <c r="L36" s="106">
        <v>0</v>
      </c>
      <c r="M36" s="60"/>
    </row>
    <row r="37" spans="2:13" x14ac:dyDescent="0.2">
      <c r="B37" s="105" t="s">
        <v>432</v>
      </c>
      <c r="C37" s="106">
        <v>0</v>
      </c>
      <c r="D37" s="106">
        <v>0</v>
      </c>
      <c r="E37" s="106">
        <v>4</v>
      </c>
      <c r="F37" s="106">
        <v>8</v>
      </c>
      <c r="G37" s="106">
        <v>0</v>
      </c>
      <c r="H37" s="106">
        <v>0</v>
      </c>
      <c r="I37" s="106">
        <v>0</v>
      </c>
      <c r="J37" s="106">
        <v>0</v>
      </c>
      <c r="K37" s="106">
        <v>0</v>
      </c>
      <c r="L37" s="106">
        <v>0</v>
      </c>
      <c r="M37" s="60"/>
    </row>
    <row r="38" spans="2:13" x14ac:dyDescent="0.2">
      <c r="B38" s="105" t="s">
        <v>433</v>
      </c>
      <c r="C38" s="106">
        <v>7118</v>
      </c>
      <c r="D38" s="106">
        <v>6500</v>
      </c>
      <c r="E38" s="106">
        <v>6422</v>
      </c>
      <c r="F38" s="106">
        <v>6308</v>
      </c>
      <c r="G38" s="106">
        <v>5874</v>
      </c>
      <c r="H38" s="106">
        <v>5428</v>
      </c>
      <c r="I38" s="106">
        <v>5043</v>
      </c>
      <c r="J38" s="106">
        <v>4789</v>
      </c>
      <c r="K38" s="106">
        <v>4296</v>
      </c>
      <c r="L38" s="106">
        <v>3998</v>
      </c>
      <c r="M38" s="60"/>
    </row>
    <row r="39" spans="2:13" x14ac:dyDescent="0.2">
      <c r="B39" s="105" t="s">
        <v>436</v>
      </c>
      <c r="C39" s="106">
        <v>13070</v>
      </c>
      <c r="D39" s="106">
        <v>13178</v>
      </c>
      <c r="E39" s="106">
        <v>14634</v>
      </c>
      <c r="F39" s="106">
        <v>14675</v>
      </c>
      <c r="G39" s="106">
        <v>15937</v>
      </c>
      <c r="H39" s="106">
        <v>16016</v>
      </c>
      <c r="I39" s="106">
        <v>15628</v>
      </c>
      <c r="J39" s="106">
        <v>15598</v>
      </c>
      <c r="K39" s="106">
        <v>14752</v>
      </c>
      <c r="L39" s="106">
        <v>14386</v>
      </c>
      <c r="M39" s="60"/>
    </row>
    <row r="40" spans="2:13" x14ac:dyDescent="0.2">
      <c r="B40" s="105" t="s">
        <v>434</v>
      </c>
      <c r="C40" s="106">
        <v>11501</v>
      </c>
      <c r="D40" s="106">
        <v>11400</v>
      </c>
      <c r="E40" s="106">
        <v>10834</v>
      </c>
      <c r="F40" s="106">
        <v>10224</v>
      </c>
      <c r="G40" s="106">
        <v>8821</v>
      </c>
      <c r="H40" s="106">
        <v>8430</v>
      </c>
      <c r="I40" s="106">
        <v>7862</v>
      </c>
      <c r="J40" s="106">
        <v>6811</v>
      </c>
      <c r="K40" s="106">
        <v>6518</v>
      </c>
      <c r="L40" s="106">
        <v>6213</v>
      </c>
      <c r="M40" s="60"/>
    </row>
    <row r="41" spans="2:13" x14ac:dyDescent="0.2">
      <c r="B41" s="105" t="s">
        <v>435</v>
      </c>
      <c r="C41" s="106">
        <v>5991</v>
      </c>
      <c r="D41" s="106">
        <v>5751</v>
      </c>
      <c r="E41" s="106">
        <v>5368</v>
      </c>
      <c r="F41" s="106">
        <v>5094</v>
      </c>
      <c r="G41" s="106">
        <v>4737</v>
      </c>
      <c r="H41" s="106">
        <v>4230</v>
      </c>
      <c r="I41" s="106">
        <v>4137</v>
      </c>
      <c r="J41" s="106">
        <v>4109</v>
      </c>
      <c r="K41" s="106">
        <v>4081</v>
      </c>
      <c r="L41" s="106">
        <v>4062</v>
      </c>
      <c r="M41" s="60"/>
    </row>
    <row r="42" spans="2:13" x14ac:dyDescent="0.2">
      <c r="B42" s="20" t="s">
        <v>27</v>
      </c>
      <c r="C42" s="21">
        <f>SUBTOTAL(109,'Enrollment By Major(STEM) Trend'!$C$5:$C$41)</f>
        <v>119513</v>
      </c>
      <c r="D42" s="21">
        <f>SUBTOTAL(109,'Enrollment By Major(STEM) Trend'!$D$5:$D$41)</f>
        <v>118224</v>
      </c>
      <c r="E42" s="21">
        <f>SUBTOTAL(109,'Enrollment By Major(STEM) Trend'!$E$5:$E$41)</f>
        <v>114471</v>
      </c>
      <c r="F42" s="21">
        <f>SUBTOTAL(109,'Enrollment By Major(STEM) Trend'!$F$5:$F$41)</f>
        <v>112028</v>
      </c>
      <c r="G42" s="21">
        <f>SUBTOTAL(109,'Enrollment By Major(STEM) Trend'!$G$5:$G$41)</f>
        <v>109606</v>
      </c>
      <c r="H42" s="21">
        <f>SUBTOTAL(109,'Enrollment By Major(STEM) Trend'!$H$5:$H$41)</f>
        <v>107126</v>
      </c>
      <c r="I42" s="21">
        <f>SUBTOTAL(109,'Enrollment By Major(STEM) Trend'!$I$5:$I$41)</f>
        <v>104777</v>
      </c>
      <c r="J42" s="21">
        <f>SUBTOTAL(109,'Enrollment By Major(STEM) Trend'!$J$5:$J$41)</f>
        <v>102301</v>
      </c>
      <c r="K42" s="21">
        <f>SUBTOTAL(109,'Enrollment By Major(STEM) Trend'!$K$5:$K$41)</f>
        <v>98094</v>
      </c>
      <c r="L42" s="21">
        <f>SUBTOTAL(109,'Enrollment By Major(STEM) Trend'!$L$5:$L$41)</f>
        <v>95494</v>
      </c>
      <c r="M42" s="60"/>
    </row>
    <row r="43" spans="2:13" x14ac:dyDescent="0.2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60"/>
    </row>
    <row r="44" spans="2:13" x14ac:dyDescent="0.2">
      <c r="B44" s="105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60"/>
    </row>
    <row r="48" spans="2:13" ht="15" x14ac:dyDescent="0.2">
      <c r="B48" s="132" t="str">
        <f>CONCATENATE("Total Number of Graduate Enrollments by Major* ",  IF(RIGHT(Parameters!B1,1) = "1","Fall ", "Spring "),IF(RIGHT(Parameters!B1,1)  = "1",LEFT(Parameters!B1,4) -9, LEFT(Parameters!B1,4)-8 ),"-",IF(RIGHT(Parameters!B1,1)  = "1",LEFT(Parameters!B1,4), LEFT(Parameters!B1,4)+1 ))</f>
        <v>Total Number of Graduate Enrollments by Major* Fall 2010-2019</v>
      </c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98"/>
    </row>
    <row r="49" spans="2:12" ht="30.95" customHeight="1" x14ac:dyDescent="0.2">
      <c r="B49" s="52" t="s">
        <v>397</v>
      </c>
      <c r="C49" s="52" t="str">
        <f>CONCATENATE(IF(RIGHT(Parameters!B1,1) = "1","Fall ", "Spring "),IF(RIGHT(Parameters!B1,1) = "1",LEFT(Parameters!B1,4) -9, LEFT(Parameters!B1,4) - 8))</f>
        <v>Fall 2010</v>
      </c>
      <c r="D49" s="52" t="str">
        <f>CONCATENATE(IF(RIGHT(Parameters!B1,1) = "1","Fall ", "Spring "),IF(RIGHT(Parameters!B1,1) = "1",LEFT(Parameters!B1,4) -8, LEFT(Parameters!B1,4) - 7))</f>
        <v>Fall 2011</v>
      </c>
      <c r="E49" s="52" t="str">
        <f>CONCATENATE(IF(RIGHT(Parameters!B1,1) = "1","Fall ", "Spring "),IF(RIGHT(Parameters!B1,1) = "1",LEFT(Parameters!B1,4) -7, LEFT(Parameters!B1,4) - 6))</f>
        <v>Fall 2012</v>
      </c>
      <c r="F49" s="52" t="str">
        <f>CONCATENATE(IF(RIGHT(Parameters!B1,1) = "1","Fall ", "Spring "),IF(RIGHT(Parameters!B1,1) = "1",LEFT(Parameters!B1,4) -6, LEFT(Parameters!B1,4) - 5))</f>
        <v>Fall 2013</v>
      </c>
      <c r="G49" s="52" t="str">
        <f>CONCATENATE(IF(RIGHT(Parameters!B1,1) = "1","Fall ", "Spring "),IF(RIGHT(Parameters!B1,1) = "1",LEFT(Parameters!B1,4) -5, LEFT(Parameters!B1,4) - 4))</f>
        <v>Fall 2014</v>
      </c>
      <c r="H49" s="52" t="str">
        <f>CONCATENATE(IF(RIGHT(Parameters!B1,1) = "1","Fall ", "Spring "),IF(RIGHT(Parameters!B1,1) = "1",LEFT(Parameters!B1,4) -4, LEFT(Parameters!B1,4) - 3))</f>
        <v>Fall 2015</v>
      </c>
      <c r="I49" s="52" t="str">
        <f>CONCATENATE(IF(RIGHT(Parameters!B1,1) = "1","Fall ", "Spring "),IF(RIGHT(Parameters!B1,1) = "1",LEFT(Parameters!B1,4) -3, LEFT(Parameters!B1,4) -2 ))</f>
        <v>Fall 2016</v>
      </c>
      <c r="J49" s="52" t="str">
        <f>CONCATENATE(IF(RIGHT(Parameters!B1,1) = "1","Fall ", "Spring "),IF(RIGHT(Parameters!B1,1) = "1",LEFT(Parameters!B1,4) -2, LEFT(Parameters!B1,4) -1 ))</f>
        <v>Fall 2017</v>
      </c>
      <c r="K49" s="52" t="str">
        <f>CONCATENATE(IF(RIGHT(Parameters!B1,1) = "1","Fall ", "Spring "),IF(RIGHT(Parameters!B1,1) = "1",LEFT(Parameters!B1,4) -1, LEFT(Parameters!B1,4)  ))</f>
        <v>Fall 2018</v>
      </c>
      <c r="L49" s="52" t="str">
        <f>CONCATENATE(IF(RIGHT(Parameters!B1,1) = "1","Fall ", "Spring "),IF(RIGHT(Parameters!B1,1) = "1",LEFT(Parameters!B1,4), LEFT(Parameters!B1,4) + 1))</f>
        <v>Fall 2019</v>
      </c>
    </row>
    <row r="50" spans="2:12" ht="15.75" hidden="1" customHeight="1" thickBot="1" x14ac:dyDescent="0.25">
      <c r="B50" s="60" t="s">
        <v>397</v>
      </c>
      <c r="C50" s="60" t="s">
        <v>3</v>
      </c>
      <c r="D50" s="60" t="s">
        <v>4</v>
      </c>
      <c r="E50" s="60" t="s">
        <v>5</v>
      </c>
      <c r="F50" s="60" t="s">
        <v>6</v>
      </c>
      <c r="G50" s="60" t="s">
        <v>7</v>
      </c>
      <c r="H50" s="60" t="s">
        <v>8</v>
      </c>
      <c r="I50" s="60" t="s">
        <v>9</v>
      </c>
      <c r="J50" s="60" t="s">
        <v>10</v>
      </c>
      <c r="K50" s="60" t="s">
        <v>11</v>
      </c>
      <c r="L50" s="60" t="s">
        <v>12</v>
      </c>
    </row>
    <row r="51" spans="2:12" x14ac:dyDescent="0.2">
      <c r="B51" s="105" t="s">
        <v>399</v>
      </c>
      <c r="C51" s="106">
        <v>0</v>
      </c>
      <c r="D51" s="106">
        <v>0</v>
      </c>
      <c r="E51" s="106">
        <v>1</v>
      </c>
      <c r="F51" s="106">
        <v>3</v>
      </c>
      <c r="G51" s="106">
        <v>1</v>
      </c>
      <c r="H51" s="106">
        <v>0</v>
      </c>
      <c r="I51" s="106">
        <v>1</v>
      </c>
      <c r="J51" s="106">
        <v>6</v>
      </c>
      <c r="K51" s="106">
        <v>11</v>
      </c>
      <c r="L51" s="106">
        <v>12</v>
      </c>
    </row>
    <row r="52" spans="2:12" x14ac:dyDescent="0.2">
      <c r="B52" s="105" t="s">
        <v>402</v>
      </c>
      <c r="C52" s="106">
        <v>1041</v>
      </c>
      <c r="D52" s="106">
        <v>982</v>
      </c>
      <c r="E52" s="106">
        <v>991</v>
      </c>
      <c r="F52" s="106">
        <v>1019</v>
      </c>
      <c r="G52" s="106">
        <v>1198</v>
      </c>
      <c r="H52" s="106">
        <v>1288</v>
      </c>
      <c r="I52" s="106">
        <v>1462</v>
      </c>
      <c r="J52" s="106">
        <v>1548</v>
      </c>
      <c r="K52" s="106">
        <v>1698</v>
      </c>
      <c r="L52" s="106">
        <v>1735</v>
      </c>
    </row>
    <row r="53" spans="2:12" x14ac:dyDescent="0.2">
      <c r="B53" s="105" t="s">
        <v>404</v>
      </c>
      <c r="C53" s="106">
        <v>190</v>
      </c>
      <c r="D53" s="106">
        <v>202</v>
      </c>
      <c r="E53" s="106">
        <v>183</v>
      </c>
      <c r="F53" s="106">
        <v>162</v>
      </c>
      <c r="G53" s="106">
        <v>147</v>
      </c>
      <c r="H53" s="106">
        <v>143</v>
      </c>
      <c r="I53" s="106">
        <v>131</v>
      </c>
      <c r="J53" s="106">
        <v>120</v>
      </c>
      <c r="K53" s="106">
        <v>106</v>
      </c>
      <c r="L53" s="106">
        <v>121</v>
      </c>
    </row>
    <row r="54" spans="2:12" x14ac:dyDescent="0.2">
      <c r="B54" s="105" t="s">
        <v>406</v>
      </c>
      <c r="C54" s="106">
        <v>5866</v>
      </c>
      <c r="D54" s="106">
        <v>5238</v>
      </c>
      <c r="E54" s="106">
        <v>4487</v>
      </c>
      <c r="F54" s="106">
        <v>4322</v>
      </c>
      <c r="G54" s="106">
        <v>4203</v>
      </c>
      <c r="H54" s="106">
        <v>4401</v>
      </c>
      <c r="I54" s="106">
        <v>4658</v>
      </c>
      <c r="J54" s="106">
        <v>4897</v>
      </c>
      <c r="K54" s="106">
        <v>4967</v>
      </c>
      <c r="L54" s="106">
        <v>4911</v>
      </c>
    </row>
    <row r="55" spans="2:12" x14ac:dyDescent="0.2">
      <c r="B55" s="105" t="s">
        <v>408</v>
      </c>
      <c r="C55" s="106">
        <v>9</v>
      </c>
      <c r="D55" s="106">
        <v>7</v>
      </c>
      <c r="E55" s="106">
        <v>7</v>
      </c>
      <c r="F55" s="106">
        <v>51</v>
      </c>
      <c r="G55" s="106">
        <v>0</v>
      </c>
      <c r="H55" s="106">
        <v>0</v>
      </c>
      <c r="I55" s="106">
        <v>53</v>
      </c>
      <c r="J55" s="106">
        <v>0</v>
      </c>
      <c r="K55" s="106">
        <v>0</v>
      </c>
      <c r="L55" s="106">
        <v>0</v>
      </c>
    </row>
    <row r="56" spans="2:12" x14ac:dyDescent="0.2">
      <c r="B56" s="105" t="s">
        <v>409</v>
      </c>
      <c r="C56" s="106">
        <v>599</v>
      </c>
      <c r="D56" s="106">
        <v>578</v>
      </c>
      <c r="E56" s="106">
        <v>517</v>
      </c>
      <c r="F56" s="106">
        <v>511</v>
      </c>
      <c r="G56" s="106">
        <v>473</v>
      </c>
      <c r="H56" s="106">
        <v>476</v>
      </c>
      <c r="I56" s="106">
        <v>493</v>
      </c>
      <c r="J56" s="106">
        <v>477</v>
      </c>
      <c r="K56" s="106">
        <v>455</v>
      </c>
      <c r="L56" s="106">
        <v>445</v>
      </c>
    </row>
    <row r="57" spans="2:12" x14ac:dyDescent="0.2">
      <c r="B57" s="105" t="s">
        <v>410</v>
      </c>
      <c r="C57" s="106">
        <v>42</v>
      </c>
      <c r="D57" s="106">
        <v>57</v>
      </c>
      <c r="E57" s="106">
        <v>43</v>
      </c>
      <c r="F57" s="106">
        <v>66</v>
      </c>
      <c r="G57" s="106">
        <v>0</v>
      </c>
      <c r="H57" s="106">
        <v>0</v>
      </c>
      <c r="I57" s="106">
        <v>0</v>
      </c>
      <c r="J57" s="106">
        <v>0</v>
      </c>
      <c r="K57" s="106">
        <v>0</v>
      </c>
      <c r="L57" s="106">
        <v>0</v>
      </c>
    </row>
    <row r="58" spans="2:12" x14ac:dyDescent="0.2">
      <c r="B58" s="105" t="s">
        <v>411</v>
      </c>
      <c r="C58" s="106">
        <v>24</v>
      </c>
      <c r="D58" s="106">
        <v>20</v>
      </c>
      <c r="E58" s="106">
        <v>21</v>
      </c>
      <c r="F58" s="106">
        <v>31</v>
      </c>
      <c r="G58" s="106">
        <v>34</v>
      </c>
      <c r="H58" s="106">
        <v>41</v>
      </c>
      <c r="I58" s="106">
        <v>95</v>
      </c>
      <c r="J58" s="106">
        <v>124</v>
      </c>
      <c r="K58" s="106">
        <v>111</v>
      </c>
      <c r="L58" s="106">
        <v>120</v>
      </c>
    </row>
    <row r="59" spans="2:12" x14ac:dyDescent="0.2">
      <c r="B59" s="105" t="s">
        <v>412</v>
      </c>
      <c r="C59" s="106">
        <v>35</v>
      </c>
      <c r="D59" s="106">
        <v>23</v>
      </c>
      <c r="E59" s="106">
        <v>41</v>
      </c>
      <c r="F59" s="106">
        <v>42</v>
      </c>
      <c r="G59" s="106">
        <v>39</v>
      </c>
      <c r="H59" s="106">
        <v>42</v>
      </c>
      <c r="I59" s="106">
        <v>48</v>
      </c>
      <c r="J59" s="106">
        <v>50</v>
      </c>
      <c r="K59" s="106">
        <v>49</v>
      </c>
      <c r="L59" s="106">
        <v>51</v>
      </c>
    </row>
    <row r="60" spans="2:12" x14ac:dyDescent="0.2">
      <c r="B60" s="105" t="s">
        <v>413</v>
      </c>
      <c r="C60" s="106">
        <v>1552</v>
      </c>
      <c r="D60" s="106">
        <v>1721</v>
      </c>
      <c r="E60" s="106">
        <v>1775</v>
      </c>
      <c r="F60" s="106">
        <v>1860</v>
      </c>
      <c r="G60" s="106">
        <v>1934</v>
      </c>
      <c r="H60" s="106">
        <v>2261</v>
      </c>
      <c r="I60" s="106">
        <v>2362</v>
      </c>
      <c r="J60" s="106">
        <v>2496</v>
      </c>
      <c r="K60" s="106">
        <v>2565</v>
      </c>
      <c r="L60" s="106">
        <v>2675</v>
      </c>
    </row>
    <row r="61" spans="2:12" x14ac:dyDescent="0.2">
      <c r="B61" s="105" t="s">
        <v>414</v>
      </c>
      <c r="C61" s="106">
        <v>198</v>
      </c>
      <c r="D61" s="106">
        <v>193</v>
      </c>
      <c r="E61" s="106">
        <v>174</v>
      </c>
      <c r="F61" s="106">
        <v>163</v>
      </c>
      <c r="G61" s="106">
        <v>158</v>
      </c>
      <c r="H61" s="106">
        <v>160</v>
      </c>
      <c r="I61" s="106">
        <v>139</v>
      </c>
      <c r="J61" s="106">
        <v>125</v>
      </c>
      <c r="K61" s="106">
        <v>115</v>
      </c>
      <c r="L61" s="106">
        <v>116</v>
      </c>
    </row>
    <row r="62" spans="2:12" x14ac:dyDescent="0.2">
      <c r="B62" s="105" t="s">
        <v>415</v>
      </c>
      <c r="C62" s="106">
        <v>0</v>
      </c>
      <c r="D62" s="106">
        <v>0</v>
      </c>
      <c r="E62" s="106">
        <v>0</v>
      </c>
      <c r="F62" s="106">
        <v>1</v>
      </c>
      <c r="G62" s="106">
        <v>1</v>
      </c>
      <c r="H62" s="106">
        <v>4</v>
      </c>
      <c r="I62" s="106">
        <v>3</v>
      </c>
      <c r="J62" s="106">
        <v>0</v>
      </c>
      <c r="K62" s="106">
        <v>0</v>
      </c>
      <c r="L62" s="106">
        <v>0</v>
      </c>
    </row>
    <row r="63" spans="2:12" x14ac:dyDescent="0.2">
      <c r="B63" s="105" t="s">
        <v>416</v>
      </c>
      <c r="C63" s="106">
        <v>164</v>
      </c>
      <c r="D63" s="106">
        <v>154</v>
      </c>
      <c r="E63" s="106">
        <v>130</v>
      </c>
      <c r="F63" s="106">
        <v>123</v>
      </c>
      <c r="G63" s="106">
        <v>101</v>
      </c>
      <c r="H63" s="106">
        <v>76</v>
      </c>
      <c r="I63" s="106">
        <v>64</v>
      </c>
      <c r="J63" s="106">
        <v>62</v>
      </c>
      <c r="K63" s="106">
        <v>65</v>
      </c>
      <c r="L63" s="106">
        <v>65</v>
      </c>
    </row>
    <row r="64" spans="2:12" x14ac:dyDescent="0.2">
      <c r="B64" s="105" t="s">
        <v>418</v>
      </c>
      <c r="C64" s="106">
        <v>37</v>
      </c>
      <c r="D64" s="106">
        <v>22</v>
      </c>
      <c r="E64" s="106">
        <v>3</v>
      </c>
      <c r="F64" s="106">
        <v>0</v>
      </c>
      <c r="G64" s="106">
        <v>0</v>
      </c>
      <c r="H64" s="106">
        <v>0</v>
      </c>
      <c r="I64" s="106">
        <v>0</v>
      </c>
      <c r="J64" s="106">
        <v>0</v>
      </c>
      <c r="K64" s="106">
        <v>0</v>
      </c>
      <c r="L64" s="106">
        <v>0</v>
      </c>
    </row>
    <row r="65" spans="2:13" x14ac:dyDescent="0.2">
      <c r="B65" s="105" t="s">
        <v>419</v>
      </c>
      <c r="C65" s="106">
        <v>588</v>
      </c>
      <c r="D65" s="106">
        <v>694</v>
      </c>
      <c r="E65" s="106">
        <v>615</v>
      </c>
      <c r="F65" s="106">
        <v>499</v>
      </c>
      <c r="G65" s="106">
        <v>425</v>
      </c>
      <c r="H65" s="106">
        <v>353</v>
      </c>
      <c r="I65" s="106">
        <v>371</v>
      </c>
      <c r="J65" s="106">
        <v>360</v>
      </c>
      <c r="K65" s="106">
        <v>400</v>
      </c>
      <c r="L65" s="106">
        <v>424</v>
      </c>
      <c r="M65" s="60"/>
    </row>
    <row r="66" spans="2:13" x14ac:dyDescent="0.2">
      <c r="B66" s="105" t="s">
        <v>421</v>
      </c>
      <c r="C66" s="106">
        <v>113</v>
      </c>
      <c r="D66" s="106">
        <v>114</v>
      </c>
      <c r="E66" s="106">
        <v>0</v>
      </c>
      <c r="F66" s="106">
        <v>3</v>
      </c>
      <c r="G66" s="106">
        <v>7</v>
      </c>
      <c r="H66" s="106">
        <v>7</v>
      </c>
      <c r="I66" s="106">
        <v>6</v>
      </c>
      <c r="J66" s="106">
        <v>5</v>
      </c>
      <c r="K66" s="106">
        <v>14</v>
      </c>
      <c r="L66" s="106">
        <v>39</v>
      </c>
      <c r="M66" s="60"/>
    </row>
    <row r="67" spans="2:13" x14ac:dyDescent="0.2">
      <c r="B67" s="105" t="s">
        <v>422</v>
      </c>
      <c r="C67" s="106">
        <v>2182</v>
      </c>
      <c r="D67" s="106">
        <v>1429</v>
      </c>
      <c r="E67" s="106">
        <v>964</v>
      </c>
      <c r="F67" s="106">
        <v>606</v>
      </c>
      <c r="G67" s="106">
        <v>499</v>
      </c>
      <c r="H67" s="106">
        <v>393</v>
      </c>
      <c r="I67" s="106">
        <v>398</v>
      </c>
      <c r="J67" s="106">
        <v>423</v>
      </c>
      <c r="K67" s="106">
        <v>279</v>
      </c>
      <c r="L67" s="106">
        <v>273</v>
      </c>
      <c r="M67" s="60"/>
    </row>
    <row r="68" spans="2:13" x14ac:dyDescent="0.2">
      <c r="B68" s="105" t="s">
        <v>423</v>
      </c>
      <c r="C68" s="106">
        <v>924</v>
      </c>
      <c r="D68" s="106">
        <v>968</v>
      </c>
      <c r="E68" s="106">
        <v>994</v>
      </c>
      <c r="F68" s="106">
        <v>969</v>
      </c>
      <c r="G68" s="106">
        <v>1051</v>
      </c>
      <c r="H68" s="106">
        <v>1025</v>
      </c>
      <c r="I68" s="106">
        <v>963</v>
      </c>
      <c r="J68" s="106">
        <v>924</v>
      </c>
      <c r="K68" s="106">
        <v>794</v>
      </c>
      <c r="L68" s="106">
        <v>715</v>
      </c>
      <c r="M68" s="60"/>
    </row>
    <row r="69" spans="2:13" x14ac:dyDescent="0.2">
      <c r="B69" s="105" t="s">
        <v>425</v>
      </c>
      <c r="C69" s="106">
        <v>0</v>
      </c>
      <c r="D69" s="106">
        <v>0</v>
      </c>
      <c r="E69" s="106">
        <v>0</v>
      </c>
      <c r="F69" s="106">
        <v>0</v>
      </c>
      <c r="G69" s="106">
        <v>0</v>
      </c>
      <c r="H69" s="106">
        <v>0</v>
      </c>
      <c r="I69" s="106">
        <v>0</v>
      </c>
      <c r="J69" s="106">
        <v>0</v>
      </c>
      <c r="K69" s="106">
        <v>20</v>
      </c>
      <c r="L69" s="106">
        <v>20</v>
      </c>
      <c r="M69" s="60"/>
    </row>
    <row r="70" spans="2:13" x14ac:dyDescent="0.2">
      <c r="B70" s="105" t="s">
        <v>426</v>
      </c>
      <c r="C70" s="106">
        <v>1</v>
      </c>
      <c r="D70" s="106">
        <v>0</v>
      </c>
      <c r="E70" s="106">
        <v>0</v>
      </c>
      <c r="F70" s="106">
        <v>0</v>
      </c>
      <c r="G70" s="106">
        <v>0</v>
      </c>
      <c r="H70" s="106">
        <v>0</v>
      </c>
      <c r="I70" s="106">
        <v>0</v>
      </c>
      <c r="J70" s="106">
        <v>0</v>
      </c>
      <c r="K70" s="106">
        <v>0</v>
      </c>
      <c r="L70" s="106">
        <v>0</v>
      </c>
      <c r="M70" s="60"/>
    </row>
    <row r="71" spans="2:13" x14ac:dyDescent="0.2">
      <c r="B71" s="105" t="s">
        <v>427</v>
      </c>
      <c r="C71" s="106">
        <v>171</v>
      </c>
      <c r="D71" s="106">
        <v>159</v>
      </c>
      <c r="E71" s="106">
        <v>177</v>
      </c>
      <c r="F71" s="106">
        <v>177</v>
      </c>
      <c r="G71" s="106">
        <v>195</v>
      </c>
      <c r="H71" s="106">
        <v>188</v>
      </c>
      <c r="I71" s="106">
        <v>173</v>
      </c>
      <c r="J71" s="106">
        <v>169</v>
      </c>
      <c r="K71" s="106">
        <v>207</v>
      </c>
      <c r="L71" s="106">
        <v>260</v>
      </c>
      <c r="M71" s="60"/>
    </row>
    <row r="72" spans="2:13" x14ac:dyDescent="0.2">
      <c r="B72" s="105" t="s">
        <v>428</v>
      </c>
      <c r="C72" s="106">
        <v>739</v>
      </c>
      <c r="D72" s="106">
        <v>769</v>
      </c>
      <c r="E72" s="106">
        <v>788</v>
      </c>
      <c r="F72" s="106">
        <v>808</v>
      </c>
      <c r="G72" s="106">
        <v>783</v>
      </c>
      <c r="H72" s="106">
        <v>672</v>
      </c>
      <c r="I72" s="106">
        <v>651</v>
      </c>
      <c r="J72" s="106">
        <v>615</v>
      </c>
      <c r="K72" s="106">
        <v>639</v>
      </c>
      <c r="L72" s="106">
        <v>632</v>
      </c>
      <c r="M72" s="60"/>
    </row>
    <row r="73" spans="2:13" x14ac:dyDescent="0.2">
      <c r="B73" s="105" t="s">
        <v>429</v>
      </c>
      <c r="C73" s="106">
        <v>689</v>
      </c>
      <c r="D73" s="106">
        <v>776</v>
      </c>
      <c r="E73" s="106">
        <v>832</v>
      </c>
      <c r="F73" s="106">
        <v>913</v>
      </c>
      <c r="G73" s="106">
        <v>1062</v>
      </c>
      <c r="H73" s="106">
        <v>1214</v>
      </c>
      <c r="I73" s="106">
        <v>1353</v>
      </c>
      <c r="J73" s="106">
        <v>1346</v>
      </c>
      <c r="K73" s="106">
        <v>1387</v>
      </c>
      <c r="L73" s="106">
        <v>1381</v>
      </c>
      <c r="M73" s="60"/>
    </row>
    <row r="74" spans="2:13" x14ac:dyDescent="0.2">
      <c r="B74" s="105" t="s">
        <v>430</v>
      </c>
      <c r="C74" s="106">
        <v>36</v>
      </c>
      <c r="D74" s="106">
        <v>39</v>
      </c>
      <c r="E74" s="106">
        <v>43</v>
      </c>
      <c r="F74" s="106">
        <v>24</v>
      </c>
      <c r="G74" s="106">
        <v>32</v>
      </c>
      <c r="H74" s="106">
        <v>26</v>
      </c>
      <c r="I74" s="106">
        <v>25</v>
      </c>
      <c r="J74" s="106">
        <v>27</v>
      </c>
      <c r="K74" s="106">
        <v>0</v>
      </c>
      <c r="L74" s="106">
        <v>0</v>
      </c>
      <c r="M74" s="60"/>
    </row>
    <row r="75" spans="2:13" x14ac:dyDescent="0.2">
      <c r="B75" s="105" t="s">
        <v>431</v>
      </c>
      <c r="C75" s="106">
        <v>0</v>
      </c>
      <c r="D75" s="106">
        <v>0</v>
      </c>
      <c r="E75" s="106">
        <v>0</v>
      </c>
      <c r="F75" s="106">
        <v>0</v>
      </c>
      <c r="G75" s="106">
        <v>0</v>
      </c>
      <c r="H75" s="106">
        <v>0</v>
      </c>
      <c r="I75" s="106">
        <v>0</v>
      </c>
      <c r="J75" s="106">
        <v>1</v>
      </c>
      <c r="K75" s="106">
        <v>3</v>
      </c>
      <c r="L75" s="106">
        <v>0</v>
      </c>
      <c r="M75" s="60"/>
    </row>
    <row r="76" spans="2:13" x14ac:dyDescent="0.2">
      <c r="B76" s="105" t="s">
        <v>432</v>
      </c>
      <c r="C76" s="106">
        <v>0</v>
      </c>
      <c r="D76" s="106">
        <v>0</v>
      </c>
      <c r="E76" s="106">
        <v>4</v>
      </c>
      <c r="F76" s="106">
        <v>8</v>
      </c>
      <c r="G76" s="106">
        <v>0</v>
      </c>
      <c r="H76" s="106">
        <v>0</v>
      </c>
      <c r="I76" s="106">
        <v>0</v>
      </c>
      <c r="J76" s="106">
        <v>0</v>
      </c>
      <c r="K76" s="106">
        <v>0</v>
      </c>
      <c r="L76" s="106">
        <v>0</v>
      </c>
      <c r="M76" s="60"/>
    </row>
    <row r="77" spans="2:13" x14ac:dyDescent="0.2">
      <c r="B77" s="105" t="s">
        <v>433</v>
      </c>
      <c r="C77" s="106">
        <v>357</v>
      </c>
      <c r="D77" s="106">
        <v>319</v>
      </c>
      <c r="E77" s="106">
        <v>288</v>
      </c>
      <c r="F77" s="106">
        <v>243</v>
      </c>
      <c r="G77" s="106">
        <v>220</v>
      </c>
      <c r="H77" s="106">
        <v>243</v>
      </c>
      <c r="I77" s="106">
        <v>247</v>
      </c>
      <c r="J77" s="106">
        <v>261</v>
      </c>
      <c r="K77" s="106">
        <v>232</v>
      </c>
      <c r="L77" s="106">
        <v>172</v>
      </c>
      <c r="M77" s="60"/>
    </row>
    <row r="78" spans="2:13" x14ac:dyDescent="0.2">
      <c r="B78" s="105" t="s">
        <v>436</v>
      </c>
      <c r="C78" s="106">
        <v>677</v>
      </c>
      <c r="D78" s="106">
        <v>602</v>
      </c>
      <c r="E78" s="106">
        <v>812</v>
      </c>
      <c r="F78" s="106">
        <v>808</v>
      </c>
      <c r="G78" s="106">
        <v>1007</v>
      </c>
      <c r="H78" s="106">
        <v>1091</v>
      </c>
      <c r="I78" s="106">
        <v>1083</v>
      </c>
      <c r="J78" s="106">
        <v>1095</v>
      </c>
      <c r="K78" s="106">
        <v>955</v>
      </c>
      <c r="L78" s="106">
        <v>996</v>
      </c>
      <c r="M78" s="60"/>
    </row>
    <row r="79" spans="2:13" x14ac:dyDescent="0.2">
      <c r="B79" s="105" t="s">
        <v>434</v>
      </c>
      <c r="C79" s="106">
        <v>8</v>
      </c>
      <c r="D79" s="106">
        <v>15</v>
      </c>
      <c r="E79" s="106">
        <v>12</v>
      </c>
      <c r="F79" s="106">
        <v>6</v>
      </c>
      <c r="G79" s="106">
        <v>0</v>
      </c>
      <c r="H79" s="106">
        <v>0</v>
      </c>
      <c r="I79" s="106">
        <v>0</v>
      </c>
      <c r="J79" s="106">
        <v>0</v>
      </c>
      <c r="K79" s="106">
        <v>0</v>
      </c>
      <c r="L79" s="106">
        <v>9</v>
      </c>
      <c r="M79" s="60"/>
    </row>
    <row r="80" spans="2:13" x14ac:dyDescent="0.2">
      <c r="B80" s="105" t="s">
        <v>435</v>
      </c>
      <c r="C80" s="106">
        <v>297</v>
      </c>
      <c r="D80" s="106">
        <v>243</v>
      </c>
      <c r="E80" s="106">
        <v>219</v>
      </c>
      <c r="F80" s="106">
        <v>214</v>
      </c>
      <c r="G80" s="106">
        <v>232</v>
      </c>
      <c r="H80" s="106">
        <v>204</v>
      </c>
      <c r="I80" s="106">
        <v>198</v>
      </c>
      <c r="J80" s="106">
        <v>199</v>
      </c>
      <c r="K80" s="106">
        <v>217</v>
      </c>
      <c r="L80" s="106">
        <v>204</v>
      </c>
      <c r="M80" s="98"/>
    </row>
    <row r="81" spans="2:13" x14ac:dyDescent="0.2">
      <c r="B81" s="20" t="s">
        <v>27</v>
      </c>
      <c r="C81" s="21">
        <f>SUBTOTAL(109,'Enrollment By Major(STEM) Trend'!$C$51:$C$80)</f>
        <v>16539</v>
      </c>
      <c r="D81" s="21">
        <f>SUBTOTAL(109,'Enrollment By Major(STEM) Trend'!$D$51:$D$80)</f>
        <v>15324</v>
      </c>
      <c r="E81" s="21">
        <f>SUBTOTAL(109,'Enrollment By Major(STEM) Trend'!$E$51:$E$80)</f>
        <v>14121</v>
      </c>
      <c r="F81" s="21">
        <f>SUBTOTAL(109,'Enrollment By Major(STEM) Trend'!$F$51:$F$80)</f>
        <v>13632</v>
      </c>
      <c r="G81" s="21">
        <f>SUBTOTAL(109,'Enrollment By Major(STEM) Trend'!$G$51:$G$80)</f>
        <v>13802</v>
      </c>
      <c r="H81" s="21">
        <f>SUBTOTAL(109,'Enrollment By Major(STEM) Trend'!$H$51:$H$80)</f>
        <v>14308</v>
      </c>
      <c r="I81" s="21">
        <f>SUBTOTAL(109,'Enrollment By Major(STEM) Trend'!$I$51:$I$80)</f>
        <v>14977</v>
      </c>
      <c r="J81" s="21">
        <f>SUBTOTAL(109,'Enrollment By Major(STEM) Trend'!$J$51:$J$80)</f>
        <v>15330</v>
      </c>
      <c r="K81" s="21">
        <f>SUBTOTAL(109,'Enrollment By Major(STEM) Trend'!$K$51:$K$80)</f>
        <v>15289</v>
      </c>
      <c r="L81" s="21">
        <f>SUBTOTAL(109,'Enrollment By Major(STEM) Trend'!$L$51:$L$80)</f>
        <v>15376</v>
      </c>
      <c r="M81" s="60"/>
    </row>
    <row r="82" spans="2:13" x14ac:dyDescent="0.2">
      <c r="B82" s="20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60"/>
    </row>
    <row r="83" spans="2:13" x14ac:dyDescent="0.2">
      <c r="B83" s="105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60"/>
    </row>
    <row r="84" spans="2:13" x14ac:dyDescent="0.2">
      <c r="B84" s="105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60"/>
    </row>
    <row r="91" spans="2:13" ht="15" x14ac:dyDescent="0.2">
      <c r="B91" s="132" t="str">
        <f>CONCATENATE("Total Number of Undergraduate Enrollments by Major* ",  IF(RIGHT(Parameters!B1,1) = "1","Fall ", "Spring "),IF(RIGHT(Parameters!B1,1)  = "1",LEFT(Parameters!B1,4) -9, LEFT(Parameters!B1,4)-8 ),"-",IF(RIGHT(Parameters!B1,1)  = "1",LEFT(Parameters!B1,4), LEFT(Parameters!B1,4)+1 ))</f>
        <v>Total Number of Undergraduate Enrollments by Major* Fall 2010-2019</v>
      </c>
      <c r="C91" s="132"/>
      <c r="D91" s="132"/>
      <c r="E91" s="132"/>
      <c r="F91" s="132"/>
      <c r="G91" s="132"/>
      <c r="H91" s="132"/>
      <c r="I91" s="132"/>
      <c r="J91" s="132"/>
      <c r="K91" s="132"/>
      <c r="L91" s="132"/>
      <c r="M91" s="98"/>
    </row>
    <row r="92" spans="2:13" ht="30.95" customHeight="1" x14ac:dyDescent="0.2">
      <c r="B92" s="52" t="s">
        <v>397</v>
      </c>
      <c r="C92" s="52" t="str">
        <f>CONCATENATE(IF(RIGHT(Parameters!B1,1) = "1","Fall ", "Spring "),IF(RIGHT(Parameters!B1,1) = "1",LEFT(Parameters!B1,4) -9, LEFT(Parameters!B1,4) - 8))</f>
        <v>Fall 2010</v>
      </c>
      <c r="D92" s="52" t="str">
        <f>CONCATENATE(IF(RIGHT(Parameters!B1,1) = "1","Fall ", "Spring "),IF(RIGHT(Parameters!B1,1) = "1",LEFT(Parameters!B1,4) -8, LEFT(Parameters!B1,4) - 7))</f>
        <v>Fall 2011</v>
      </c>
      <c r="E92" s="52" t="str">
        <f>CONCATENATE(IF(RIGHT(Parameters!B1,1) = "1","Fall ", "Spring "),IF(RIGHT(Parameters!B1,1) = "1",LEFT(Parameters!B1,4) -7, LEFT(Parameters!B1,4) - 6))</f>
        <v>Fall 2012</v>
      </c>
      <c r="F92" s="52" t="str">
        <f>CONCATENATE(IF(RIGHT(Parameters!B1,1) = "1","Fall ", "Spring "),IF(RIGHT(Parameters!B1,1) = "1",LEFT(Parameters!B1,4) -6, LEFT(Parameters!B1,4) - 5))</f>
        <v>Fall 2013</v>
      </c>
      <c r="G92" s="52" t="str">
        <f>CONCATENATE(IF(RIGHT(Parameters!B1,1) = "1","Fall ", "Spring "),IF(RIGHT(Parameters!B1,1) = "1",LEFT(Parameters!B1,4) -5, LEFT(Parameters!B1,4) - 4))</f>
        <v>Fall 2014</v>
      </c>
      <c r="H92" s="52" t="str">
        <f>CONCATENATE(IF(RIGHT(Parameters!B1,1) = "1","Fall ", "Spring "),IF(RIGHT(Parameters!B1,1) = "1",LEFT(Parameters!B1,4) -4, LEFT(Parameters!B1,4) - 3))</f>
        <v>Fall 2015</v>
      </c>
      <c r="I92" s="52" t="str">
        <f>CONCATENATE(IF(RIGHT(Parameters!B1,1) = "1","Fall ", "Spring "),IF(RIGHT(Parameters!B1,1) = "1",LEFT(Parameters!B1,4) -3, LEFT(Parameters!B1,4) -2 ))</f>
        <v>Fall 2016</v>
      </c>
      <c r="J92" s="52" t="str">
        <f>CONCATENATE(IF(RIGHT(Parameters!B1,1) = "1","Fall ", "Spring "),IF(RIGHT(Parameters!B1,1) = "1",LEFT(Parameters!B1,4) -2, LEFT(Parameters!B1,4) -1 ))</f>
        <v>Fall 2017</v>
      </c>
      <c r="K92" s="52" t="str">
        <f>CONCATENATE(IF(RIGHT(Parameters!B1,1) = "1","Fall ", "Spring "),IF(RIGHT(Parameters!B1,1) = "1",LEFT(Parameters!B1,4) -1, LEFT(Parameters!B1,4)  ))</f>
        <v>Fall 2018</v>
      </c>
      <c r="L92" s="52" t="str">
        <f>CONCATENATE(IF(RIGHT(Parameters!B1,1) = "1","Fall ", "Spring "),IF(RIGHT(Parameters!B1,1) = "1",LEFT(Parameters!B1,4), LEFT(Parameters!B1,4) + 1))</f>
        <v>Fall 2019</v>
      </c>
      <c r="M92" s="60"/>
    </row>
    <row r="93" spans="2:13" ht="15.75" hidden="1" customHeight="1" thickBot="1" x14ac:dyDescent="0.25">
      <c r="B93" s="60" t="s">
        <v>397</v>
      </c>
      <c r="C93" s="60" t="s">
        <v>3</v>
      </c>
      <c r="D93" s="60" t="s">
        <v>4</v>
      </c>
      <c r="E93" s="60" t="s">
        <v>5</v>
      </c>
      <c r="F93" s="60" t="s">
        <v>6</v>
      </c>
      <c r="G93" s="60" t="s">
        <v>7</v>
      </c>
      <c r="H93" s="60" t="s">
        <v>8</v>
      </c>
      <c r="I93" s="60" t="s">
        <v>9</v>
      </c>
      <c r="J93" s="60" t="s">
        <v>10</v>
      </c>
      <c r="K93" s="60" t="s">
        <v>11</v>
      </c>
      <c r="L93" s="60" t="s">
        <v>12</v>
      </c>
      <c r="M93" s="60"/>
    </row>
    <row r="94" spans="2:13" x14ac:dyDescent="0.2">
      <c r="B94" s="105" t="s">
        <v>398</v>
      </c>
      <c r="C94" s="106">
        <v>0</v>
      </c>
      <c r="D94" s="106">
        <v>0</v>
      </c>
      <c r="E94" s="106">
        <v>0</v>
      </c>
      <c r="F94" s="106">
        <v>0</v>
      </c>
      <c r="G94" s="106">
        <v>0</v>
      </c>
      <c r="H94" s="106">
        <v>0</v>
      </c>
      <c r="I94" s="106">
        <v>0</v>
      </c>
      <c r="J94" s="106">
        <v>0</v>
      </c>
      <c r="K94" s="106">
        <v>13</v>
      </c>
      <c r="L94" s="106">
        <v>0</v>
      </c>
      <c r="M94" s="60"/>
    </row>
    <row r="95" spans="2:13" x14ac:dyDescent="0.2">
      <c r="B95" s="105" t="s">
        <v>399</v>
      </c>
      <c r="C95" s="106">
        <v>36</v>
      </c>
      <c r="D95" s="106">
        <v>36</v>
      </c>
      <c r="E95" s="106">
        <v>47</v>
      </c>
      <c r="F95" s="106">
        <v>45</v>
      </c>
      <c r="G95" s="106">
        <v>46</v>
      </c>
      <c r="H95" s="106">
        <v>47</v>
      </c>
      <c r="I95" s="106">
        <v>43</v>
      </c>
      <c r="J95" s="106">
        <v>65</v>
      </c>
      <c r="K95" s="106">
        <v>84</v>
      </c>
      <c r="L95" s="106">
        <v>76</v>
      </c>
      <c r="M95" s="60"/>
    </row>
    <row r="96" spans="2:13" x14ac:dyDescent="0.2">
      <c r="B96" s="105" t="s">
        <v>400</v>
      </c>
      <c r="C96" s="106">
        <v>117</v>
      </c>
      <c r="D96" s="106">
        <v>120</v>
      </c>
      <c r="E96" s="106">
        <v>122</v>
      </c>
      <c r="F96" s="106">
        <v>148</v>
      </c>
      <c r="G96" s="106">
        <v>146</v>
      </c>
      <c r="H96" s="106">
        <v>131</v>
      </c>
      <c r="I96" s="106">
        <v>117</v>
      </c>
      <c r="J96" s="106">
        <v>114</v>
      </c>
      <c r="K96" s="106">
        <v>102</v>
      </c>
      <c r="L96" s="106">
        <v>89</v>
      </c>
      <c r="M96" s="60"/>
    </row>
    <row r="97" spans="2:12" x14ac:dyDescent="0.2">
      <c r="B97" s="105" t="s">
        <v>402</v>
      </c>
      <c r="C97" s="106">
        <v>12779</v>
      </c>
      <c r="D97" s="106">
        <v>12650</v>
      </c>
      <c r="E97" s="106">
        <v>13196</v>
      </c>
      <c r="F97" s="106">
        <v>13820</v>
      </c>
      <c r="G97" s="106">
        <v>14806</v>
      </c>
      <c r="H97" s="106">
        <v>15037</v>
      </c>
      <c r="I97" s="106">
        <v>14930</v>
      </c>
      <c r="J97" s="106">
        <v>14617</v>
      </c>
      <c r="K97" s="106">
        <v>13556</v>
      </c>
      <c r="L97" s="106">
        <v>12505</v>
      </c>
    </row>
    <row r="98" spans="2:12" x14ac:dyDescent="0.2">
      <c r="B98" s="105" t="s">
        <v>403</v>
      </c>
      <c r="C98" s="106">
        <v>123</v>
      </c>
      <c r="D98" s="106">
        <v>123</v>
      </c>
      <c r="E98" s="106">
        <v>116</v>
      </c>
      <c r="F98" s="106">
        <v>126</v>
      </c>
      <c r="G98" s="106">
        <v>114</v>
      </c>
      <c r="H98" s="106">
        <v>126</v>
      </c>
      <c r="I98" s="106">
        <v>143</v>
      </c>
      <c r="J98" s="106">
        <v>153</v>
      </c>
      <c r="K98" s="106">
        <v>140</v>
      </c>
      <c r="L98" s="106">
        <v>135</v>
      </c>
    </row>
    <row r="99" spans="2:12" x14ac:dyDescent="0.2">
      <c r="B99" s="105" t="s">
        <v>404</v>
      </c>
      <c r="C99" s="106">
        <v>3418</v>
      </c>
      <c r="D99" s="106">
        <v>3401</v>
      </c>
      <c r="E99" s="106">
        <v>3523</v>
      </c>
      <c r="F99" s="106">
        <v>3466</v>
      </c>
      <c r="G99" s="106">
        <v>3381</v>
      </c>
      <c r="H99" s="106">
        <v>3168</v>
      </c>
      <c r="I99" s="106">
        <v>3487</v>
      </c>
      <c r="J99" s="106">
        <v>3213</v>
      </c>
      <c r="K99" s="106">
        <v>2868</v>
      </c>
      <c r="L99" s="106">
        <v>2837</v>
      </c>
    </row>
    <row r="100" spans="2:12" x14ac:dyDescent="0.2">
      <c r="B100" s="105" t="s">
        <v>405</v>
      </c>
      <c r="C100" s="106">
        <v>155</v>
      </c>
      <c r="D100" s="106">
        <v>162</v>
      </c>
      <c r="E100" s="106">
        <v>176</v>
      </c>
      <c r="F100" s="106">
        <v>203</v>
      </c>
      <c r="G100" s="106">
        <v>0</v>
      </c>
      <c r="H100" s="106">
        <v>0</v>
      </c>
      <c r="I100" s="106">
        <v>0</v>
      </c>
      <c r="J100" s="106">
        <v>0</v>
      </c>
      <c r="K100" s="106">
        <v>0</v>
      </c>
      <c r="L100" s="106">
        <v>0</v>
      </c>
    </row>
    <row r="101" spans="2:12" x14ac:dyDescent="0.2">
      <c r="B101" s="105" t="s">
        <v>406</v>
      </c>
      <c r="C101" s="106">
        <v>11536</v>
      </c>
      <c r="D101" s="106">
        <v>11168</v>
      </c>
      <c r="E101" s="106">
        <v>9357</v>
      </c>
      <c r="F101" s="106">
        <v>8091</v>
      </c>
      <c r="G101" s="106">
        <v>7304</v>
      </c>
      <c r="H101" s="106">
        <v>7024</v>
      </c>
      <c r="I101" s="106">
        <v>6871</v>
      </c>
      <c r="J101" s="106">
        <v>6669</v>
      </c>
      <c r="K101" s="106">
        <v>6911</v>
      </c>
      <c r="L101" s="106">
        <v>7098</v>
      </c>
    </row>
    <row r="102" spans="2:12" x14ac:dyDescent="0.2">
      <c r="B102" s="105" t="s">
        <v>408</v>
      </c>
      <c r="C102" s="106">
        <v>357</v>
      </c>
      <c r="D102" s="106">
        <v>285</v>
      </c>
      <c r="E102" s="106">
        <v>242</v>
      </c>
      <c r="F102" s="106">
        <v>239</v>
      </c>
      <c r="G102" s="106">
        <v>0</v>
      </c>
      <c r="H102" s="106">
        <v>0</v>
      </c>
      <c r="I102" s="106">
        <v>90</v>
      </c>
      <c r="J102" s="106">
        <v>79</v>
      </c>
      <c r="K102" s="106">
        <v>68</v>
      </c>
      <c r="L102" s="106">
        <v>65</v>
      </c>
    </row>
    <row r="103" spans="2:12" x14ac:dyDescent="0.2">
      <c r="B103" s="105" t="s">
        <v>409</v>
      </c>
      <c r="C103" s="106">
        <v>4288</v>
      </c>
      <c r="D103" s="106">
        <v>4329</v>
      </c>
      <c r="E103" s="106">
        <v>3778</v>
      </c>
      <c r="F103" s="106">
        <v>3560</v>
      </c>
      <c r="G103" s="106">
        <v>3324</v>
      </c>
      <c r="H103" s="106">
        <v>3001</v>
      </c>
      <c r="I103" s="106">
        <v>2457</v>
      </c>
      <c r="J103" s="106">
        <v>2426</v>
      </c>
      <c r="K103" s="106">
        <v>2250</v>
      </c>
      <c r="L103" s="106">
        <v>2110</v>
      </c>
    </row>
    <row r="104" spans="2:12" x14ac:dyDescent="0.2">
      <c r="B104" s="105" t="s">
        <v>410</v>
      </c>
      <c r="C104" s="106">
        <v>446</v>
      </c>
      <c r="D104" s="106">
        <v>475</v>
      </c>
      <c r="E104" s="106">
        <v>142</v>
      </c>
      <c r="F104" s="106">
        <v>127</v>
      </c>
      <c r="G104" s="106">
        <v>0</v>
      </c>
      <c r="H104" s="106">
        <v>0</v>
      </c>
      <c r="I104" s="106">
        <v>0</v>
      </c>
      <c r="J104" s="106">
        <v>0</v>
      </c>
      <c r="K104" s="106">
        <v>0</v>
      </c>
      <c r="L104" s="106">
        <v>0</v>
      </c>
    </row>
    <row r="105" spans="2:12" x14ac:dyDescent="0.2">
      <c r="B105" s="105" t="s">
        <v>411</v>
      </c>
      <c r="C105" s="106">
        <v>608</v>
      </c>
      <c r="D105" s="106">
        <v>658</v>
      </c>
      <c r="E105" s="106">
        <v>563</v>
      </c>
      <c r="F105" s="106">
        <v>562</v>
      </c>
      <c r="G105" s="106">
        <v>556</v>
      </c>
      <c r="H105" s="106">
        <v>480</v>
      </c>
      <c r="I105" s="106">
        <v>402</v>
      </c>
      <c r="J105" s="106">
        <v>349</v>
      </c>
      <c r="K105" s="106">
        <v>255</v>
      </c>
      <c r="L105" s="106">
        <v>190</v>
      </c>
    </row>
    <row r="106" spans="2:12" x14ac:dyDescent="0.2">
      <c r="B106" s="105" t="s">
        <v>412</v>
      </c>
      <c r="C106" s="106">
        <v>855</v>
      </c>
      <c r="D106" s="106">
        <v>840</v>
      </c>
      <c r="E106" s="106">
        <v>820</v>
      </c>
      <c r="F106" s="106">
        <v>740</v>
      </c>
      <c r="G106" s="106">
        <v>647</v>
      </c>
      <c r="H106" s="106">
        <v>582</v>
      </c>
      <c r="I106" s="106">
        <v>526</v>
      </c>
      <c r="J106" s="106">
        <v>529</v>
      </c>
      <c r="K106" s="106">
        <v>508</v>
      </c>
      <c r="L106" s="106">
        <v>491</v>
      </c>
    </row>
    <row r="107" spans="2:12" x14ac:dyDescent="0.2">
      <c r="B107" s="105" t="s">
        <v>413</v>
      </c>
      <c r="C107" s="106">
        <v>9055</v>
      </c>
      <c r="D107" s="106">
        <v>9498</v>
      </c>
      <c r="E107" s="106">
        <v>9928</v>
      </c>
      <c r="F107" s="106">
        <v>10562</v>
      </c>
      <c r="G107" s="106">
        <v>10585</v>
      </c>
      <c r="H107" s="106">
        <v>10491</v>
      </c>
      <c r="I107" s="106">
        <v>10480</v>
      </c>
      <c r="J107" s="106">
        <v>10289</v>
      </c>
      <c r="K107" s="106">
        <v>10008</v>
      </c>
      <c r="L107" s="106">
        <v>9576</v>
      </c>
    </row>
    <row r="108" spans="2:12" x14ac:dyDescent="0.2">
      <c r="B108" s="105" t="s">
        <v>414</v>
      </c>
      <c r="C108" s="106">
        <v>2106</v>
      </c>
      <c r="D108" s="106">
        <v>2225</v>
      </c>
      <c r="E108" s="106">
        <v>1933</v>
      </c>
      <c r="F108" s="106">
        <v>1674</v>
      </c>
      <c r="G108" s="106">
        <v>1423</v>
      </c>
      <c r="H108" s="106">
        <v>1253</v>
      </c>
      <c r="I108" s="106">
        <v>1118</v>
      </c>
      <c r="J108" s="106">
        <v>1048</v>
      </c>
      <c r="K108" s="106">
        <v>1014</v>
      </c>
      <c r="L108" s="106">
        <v>1001</v>
      </c>
    </row>
    <row r="109" spans="2:12" x14ac:dyDescent="0.2">
      <c r="B109" s="105" t="s">
        <v>415</v>
      </c>
      <c r="C109" s="106">
        <v>0</v>
      </c>
      <c r="D109" s="106">
        <v>0</v>
      </c>
      <c r="E109" s="106">
        <v>0</v>
      </c>
      <c r="F109" s="106">
        <v>69</v>
      </c>
      <c r="G109" s="106">
        <v>69</v>
      </c>
      <c r="H109" s="106">
        <v>75</v>
      </c>
      <c r="I109" s="106">
        <v>43</v>
      </c>
      <c r="J109" s="106">
        <v>0</v>
      </c>
      <c r="K109" s="106">
        <v>0</v>
      </c>
      <c r="L109" s="106">
        <v>0</v>
      </c>
    </row>
    <row r="110" spans="2:12" x14ac:dyDescent="0.2">
      <c r="B110" s="105" t="s">
        <v>416</v>
      </c>
      <c r="C110" s="106">
        <v>18</v>
      </c>
      <c r="D110" s="106">
        <v>199</v>
      </c>
      <c r="E110" s="106">
        <v>36</v>
      </c>
      <c r="F110" s="106">
        <v>46</v>
      </c>
      <c r="G110" s="106">
        <v>79</v>
      </c>
      <c r="H110" s="106">
        <v>116</v>
      </c>
      <c r="I110" s="106">
        <v>95</v>
      </c>
      <c r="J110" s="106">
        <v>96</v>
      </c>
      <c r="K110" s="106">
        <v>81</v>
      </c>
      <c r="L110" s="106">
        <v>64</v>
      </c>
    </row>
    <row r="111" spans="2:12" x14ac:dyDescent="0.2">
      <c r="B111" s="105" t="s">
        <v>417</v>
      </c>
      <c r="C111" s="106">
        <v>0</v>
      </c>
      <c r="D111" s="106">
        <v>0</v>
      </c>
      <c r="E111" s="106">
        <v>0</v>
      </c>
      <c r="F111" s="106">
        <v>0</v>
      </c>
      <c r="G111" s="106">
        <v>0</v>
      </c>
      <c r="H111" s="106">
        <v>0</v>
      </c>
      <c r="I111" s="106">
        <v>0</v>
      </c>
      <c r="J111" s="106">
        <v>1</v>
      </c>
      <c r="K111" s="106">
        <v>0</v>
      </c>
      <c r="L111" s="106">
        <v>0</v>
      </c>
    </row>
    <row r="112" spans="2:12" x14ac:dyDescent="0.2">
      <c r="B112" s="105" t="s">
        <v>418</v>
      </c>
      <c r="C112" s="106">
        <v>1804</v>
      </c>
      <c r="D112" s="106">
        <v>1818</v>
      </c>
      <c r="E112" s="106">
        <v>1747</v>
      </c>
      <c r="F112" s="106">
        <v>1444</v>
      </c>
      <c r="G112" s="106">
        <v>1742</v>
      </c>
      <c r="H112" s="106">
        <v>1383</v>
      </c>
      <c r="I112" s="106">
        <v>1319</v>
      </c>
      <c r="J112" s="106">
        <v>1263</v>
      </c>
      <c r="K112" s="106">
        <v>1028</v>
      </c>
      <c r="L112" s="106">
        <v>1057</v>
      </c>
    </row>
    <row r="113" spans="2:13" x14ac:dyDescent="0.2">
      <c r="B113" s="105" t="s">
        <v>419</v>
      </c>
      <c r="C113" s="106">
        <v>131</v>
      </c>
      <c r="D113" s="106">
        <v>137</v>
      </c>
      <c r="E113" s="106">
        <v>115</v>
      </c>
      <c r="F113" s="106">
        <v>84</v>
      </c>
      <c r="G113" s="106">
        <v>54</v>
      </c>
      <c r="H113" s="106">
        <v>35</v>
      </c>
      <c r="I113" s="106">
        <v>27</v>
      </c>
      <c r="J113" s="106">
        <v>25</v>
      </c>
      <c r="K113" s="106">
        <v>29</v>
      </c>
      <c r="L113" s="106">
        <v>32</v>
      </c>
      <c r="M113" s="60"/>
    </row>
    <row r="114" spans="2:13" x14ac:dyDescent="0.2">
      <c r="B114" s="105" t="s">
        <v>420</v>
      </c>
      <c r="C114" s="106">
        <v>9</v>
      </c>
      <c r="D114" s="106">
        <v>4</v>
      </c>
      <c r="E114" s="106">
        <v>2</v>
      </c>
      <c r="F114" s="106">
        <v>0</v>
      </c>
      <c r="G114" s="106">
        <v>0</v>
      </c>
      <c r="H114" s="106">
        <v>0</v>
      </c>
      <c r="I114" s="106">
        <v>0</v>
      </c>
      <c r="J114" s="106">
        <v>0</v>
      </c>
      <c r="K114" s="106">
        <v>1</v>
      </c>
      <c r="L114" s="106">
        <v>0</v>
      </c>
      <c r="M114" s="60"/>
    </row>
    <row r="115" spans="2:13" x14ac:dyDescent="0.2">
      <c r="B115" s="105" t="s">
        <v>421</v>
      </c>
      <c r="C115" s="106">
        <v>563</v>
      </c>
      <c r="D115" s="106">
        <v>576</v>
      </c>
      <c r="E115" s="106">
        <v>165</v>
      </c>
      <c r="F115" s="106">
        <v>184</v>
      </c>
      <c r="G115" s="106">
        <v>216</v>
      </c>
      <c r="H115" s="106">
        <v>257</v>
      </c>
      <c r="I115" s="106">
        <v>300</v>
      </c>
      <c r="J115" s="106">
        <v>330</v>
      </c>
      <c r="K115" s="106">
        <v>375</v>
      </c>
      <c r="L115" s="106">
        <v>419</v>
      </c>
      <c r="M115" s="60"/>
    </row>
    <row r="116" spans="2:13" x14ac:dyDescent="0.2">
      <c r="B116" s="105" t="s">
        <v>422</v>
      </c>
      <c r="C116" s="106">
        <v>2362</v>
      </c>
      <c r="D116" s="106">
        <v>1870</v>
      </c>
      <c r="E116" s="106">
        <v>1643</v>
      </c>
      <c r="F116" s="106">
        <v>1659</v>
      </c>
      <c r="G116" s="106">
        <v>1347</v>
      </c>
      <c r="H116" s="106">
        <v>1445</v>
      </c>
      <c r="I116" s="106">
        <v>1518</v>
      </c>
      <c r="J116" s="106">
        <v>1657</v>
      </c>
      <c r="K116" s="106">
        <v>1645</v>
      </c>
      <c r="L116" s="106">
        <v>2075</v>
      </c>
      <c r="M116" s="60"/>
    </row>
    <row r="117" spans="2:13" x14ac:dyDescent="0.2">
      <c r="B117" s="105" t="s">
        <v>423</v>
      </c>
      <c r="C117" s="106">
        <v>5519</v>
      </c>
      <c r="D117" s="106">
        <v>5555</v>
      </c>
      <c r="E117" s="106">
        <v>5321</v>
      </c>
      <c r="F117" s="106">
        <v>5292</v>
      </c>
      <c r="G117" s="106">
        <v>5118</v>
      </c>
      <c r="H117" s="106">
        <v>4786</v>
      </c>
      <c r="I117" s="106">
        <v>4403</v>
      </c>
      <c r="J117" s="106">
        <v>4421</v>
      </c>
      <c r="K117" s="106">
        <v>4070</v>
      </c>
      <c r="L117" s="106">
        <v>3877</v>
      </c>
      <c r="M117" s="60"/>
    </row>
    <row r="118" spans="2:13" x14ac:dyDescent="0.2">
      <c r="B118" s="105" t="s">
        <v>424</v>
      </c>
      <c r="C118" s="106">
        <v>0</v>
      </c>
      <c r="D118" s="106">
        <v>0</v>
      </c>
      <c r="E118" s="106">
        <v>0</v>
      </c>
      <c r="F118" s="106">
        <v>0</v>
      </c>
      <c r="G118" s="106">
        <v>0</v>
      </c>
      <c r="H118" s="106">
        <v>0</v>
      </c>
      <c r="I118" s="106">
        <v>0</v>
      </c>
      <c r="J118" s="106">
        <v>0</v>
      </c>
      <c r="K118" s="106">
        <v>3</v>
      </c>
      <c r="L118" s="106">
        <v>1</v>
      </c>
      <c r="M118" s="60"/>
    </row>
    <row r="119" spans="2:13" x14ac:dyDescent="0.2">
      <c r="B119" s="105" t="s">
        <v>425</v>
      </c>
      <c r="C119" s="106">
        <v>0</v>
      </c>
      <c r="D119" s="106">
        <v>0</v>
      </c>
      <c r="E119" s="106">
        <v>0</v>
      </c>
      <c r="F119" s="106">
        <v>0</v>
      </c>
      <c r="G119" s="106">
        <v>0</v>
      </c>
      <c r="H119" s="106">
        <v>0</v>
      </c>
      <c r="I119" s="106">
        <v>0</v>
      </c>
      <c r="J119" s="106">
        <v>0</v>
      </c>
      <c r="K119" s="106">
        <v>133</v>
      </c>
      <c r="L119" s="106">
        <v>117</v>
      </c>
      <c r="M119" s="60"/>
    </row>
    <row r="120" spans="2:13" x14ac:dyDescent="0.2">
      <c r="B120" s="105" t="s">
        <v>426</v>
      </c>
      <c r="C120" s="106">
        <v>16</v>
      </c>
      <c r="D120" s="106">
        <v>14</v>
      </c>
      <c r="E120" s="106">
        <v>8</v>
      </c>
      <c r="F120" s="106">
        <v>32</v>
      </c>
      <c r="G120" s="106">
        <v>0</v>
      </c>
      <c r="H120" s="106">
        <v>0</v>
      </c>
      <c r="I120" s="106">
        <v>0</v>
      </c>
      <c r="J120" s="106">
        <v>0</v>
      </c>
      <c r="K120" s="106">
        <v>0</v>
      </c>
      <c r="L120" s="106">
        <v>0</v>
      </c>
      <c r="M120" s="60"/>
    </row>
    <row r="121" spans="2:13" ht="14.25" customHeight="1" x14ac:dyDescent="0.2">
      <c r="B121" s="105" t="s">
        <v>427</v>
      </c>
      <c r="C121" s="106">
        <v>3286</v>
      </c>
      <c r="D121" s="106">
        <v>3638</v>
      </c>
      <c r="E121" s="106">
        <v>3672</v>
      </c>
      <c r="F121" s="106">
        <v>3419</v>
      </c>
      <c r="G121" s="106">
        <v>3466</v>
      </c>
      <c r="H121" s="106">
        <v>3633</v>
      </c>
      <c r="I121" s="106">
        <v>3605</v>
      </c>
      <c r="J121" s="106">
        <v>3478</v>
      </c>
      <c r="K121" s="106">
        <v>3509</v>
      </c>
      <c r="L121" s="106">
        <v>3310</v>
      </c>
      <c r="M121" s="60"/>
    </row>
    <row r="122" spans="2:13" ht="15.75" customHeight="1" x14ac:dyDescent="0.2">
      <c r="B122" s="105" t="s">
        <v>428</v>
      </c>
      <c r="C122" s="106">
        <v>5095</v>
      </c>
      <c r="D122" s="106">
        <v>5331</v>
      </c>
      <c r="E122" s="106">
        <v>5474</v>
      </c>
      <c r="F122" s="106">
        <v>5391</v>
      </c>
      <c r="G122" s="106">
        <v>4994</v>
      </c>
      <c r="H122" s="106">
        <v>4738</v>
      </c>
      <c r="I122" s="106">
        <v>4418</v>
      </c>
      <c r="J122" s="106">
        <v>4260</v>
      </c>
      <c r="K122" s="106">
        <v>3976</v>
      </c>
      <c r="L122" s="106">
        <v>3983</v>
      </c>
      <c r="M122" s="60"/>
    </row>
    <row r="123" spans="2:13" x14ac:dyDescent="0.2">
      <c r="B123" s="105" t="s">
        <v>429</v>
      </c>
      <c r="C123" s="106">
        <v>1728</v>
      </c>
      <c r="D123" s="106">
        <v>1915</v>
      </c>
      <c r="E123" s="106">
        <v>2042</v>
      </c>
      <c r="F123" s="106">
        <v>2160</v>
      </c>
      <c r="G123" s="106">
        <v>2261</v>
      </c>
      <c r="H123" s="106">
        <v>2242</v>
      </c>
      <c r="I123" s="106">
        <v>2103</v>
      </c>
      <c r="J123" s="106">
        <v>1927</v>
      </c>
      <c r="K123" s="106">
        <v>1856</v>
      </c>
      <c r="L123" s="106">
        <v>1732</v>
      </c>
      <c r="M123" s="60"/>
    </row>
    <row r="124" spans="2:13" x14ac:dyDescent="0.2">
      <c r="B124" s="105" t="s">
        <v>430</v>
      </c>
      <c r="C124" s="106">
        <v>223</v>
      </c>
      <c r="D124" s="106">
        <v>223</v>
      </c>
      <c r="E124" s="106">
        <v>255</v>
      </c>
      <c r="F124" s="106">
        <v>223</v>
      </c>
      <c r="G124" s="106">
        <v>216</v>
      </c>
      <c r="H124" s="106">
        <v>202</v>
      </c>
      <c r="I124" s="106">
        <v>163</v>
      </c>
      <c r="J124" s="106">
        <v>167</v>
      </c>
      <c r="K124" s="106">
        <v>0</v>
      </c>
      <c r="L124" s="106">
        <v>0</v>
      </c>
      <c r="M124" s="60"/>
    </row>
    <row r="125" spans="2:13" x14ac:dyDescent="0.2">
      <c r="B125" s="105" t="s">
        <v>431</v>
      </c>
      <c r="C125" s="106">
        <v>0</v>
      </c>
      <c r="D125" s="106">
        <v>0</v>
      </c>
      <c r="E125" s="106">
        <v>0</v>
      </c>
      <c r="F125" s="106">
        <v>0</v>
      </c>
      <c r="G125" s="106">
        <v>0</v>
      </c>
      <c r="H125" s="106">
        <v>0</v>
      </c>
      <c r="I125" s="106">
        <v>0</v>
      </c>
      <c r="J125" s="106">
        <v>43</v>
      </c>
      <c r="K125" s="106">
        <v>79</v>
      </c>
      <c r="L125" s="106">
        <v>0</v>
      </c>
      <c r="M125" s="60"/>
    </row>
    <row r="126" spans="2:13" x14ac:dyDescent="0.2">
      <c r="B126" s="105" t="s">
        <v>433</v>
      </c>
      <c r="C126" s="106">
        <v>6761</v>
      </c>
      <c r="D126" s="106">
        <v>6181</v>
      </c>
      <c r="E126" s="106">
        <v>6134</v>
      </c>
      <c r="F126" s="106">
        <v>6065</v>
      </c>
      <c r="G126" s="106">
        <v>5654</v>
      </c>
      <c r="H126" s="106">
        <v>5185</v>
      </c>
      <c r="I126" s="106">
        <v>4796</v>
      </c>
      <c r="J126" s="106">
        <v>4528</v>
      </c>
      <c r="K126" s="106">
        <v>4064</v>
      </c>
      <c r="L126" s="106">
        <v>3826</v>
      </c>
      <c r="M126" s="97"/>
    </row>
    <row r="127" spans="2:13" x14ac:dyDescent="0.2">
      <c r="B127" s="105" t="s">
        <v>436</v>
      </c>
      <c r="C127" s="106">
        <v>12393</v>
      </c>
      <c r="D127" s="106">
        <v>12576</v>
      </c>
      <c r="E127" s="106">
        <v>13822</v>
      </c>
      <c r="F127" s="106">
        <v>13867</v>
      </c>
      <c r="G127" s="106">
        <v>14930</v>
      </c>
      <c r="H127" s="106">
        <v>14925</v>
      </c>
      <c r="I127" s="106">
        <v>14545</v>
      </c>
      <c r="J127" s="106">
        <v>14503</v>
      </c>
      <c r="K127" s="106">
        <v>13797</v>
      </c>
      <c r="L127" s="106">
        <v>13390</v>
      </c>
      <c r="M127" s="60"/>
    </row>
    <row r="128" spans="2:13" ht="15" customHeight="1" x14ac:dyDescent="0.2">
      <c r="B128" s="105" t="s">
        <v>434</v>
      </c>
      <c r="C128" s="106">
        <v>11493</v>
      </c>
      <c r="D128" s="106">
        <v>11385</v>
      </c>
      <c r="E128" s="106">
        <v>10822</v>
      </c>
      <c r="F128" s="106">
        <v>10218</v>
      </c>
      <c r="G128" s="106">
        <v>8821</v>
      </c>
      <c r="H128" s="106">
        <v>8430</v>
      </c>
      <c r="I128" s="106">
        <v>7862</v>
      </c>
      <c r="J128" s="106">
        <v>6811</v>
      </c>
      <c r="K128" s="106">
        <v>6518</v>
      </c>
      <c r="L128" s="106">
        <v>6204</v>
      </c>
      <c r="M128" s="60"/>
    </row>
    <row r="129" spans="2:13" x14ac:dyDescent="0.2">
      <c r="B129" s="105" t="s">
        <v>435</v>
      </c>
      <c r="C129" s="106">
        <v>5694</v>
      </c>
      <c r="D129" s="106">
        <v>5508</v>
      </c>
      <c r="E129" s="106">
        <v>5149</v>
      </c>
      <c r="F129" s="106">
        <v>4880</v>
      </c>
      <c r="G129" s="106">
        <v>4505</v>
      </c>
      <c r="H129" s="106">
        <v>4026</v>
      </c>
      <c r="I129" s="106">
        <v>3939</v>
      </c>
      <c r="J129" s="106">
        <v>3910</v>
      </c>
      <c r="K129" s="106">
        <v>3864</v>
      </c>
      <c r="L129" s="106">
        <v>3858</v>
      </c>
      <c r="M129" s="60"/>
    </row>
    <row r="130" spans="2:13" x14ac:dyDescent="0.2">
      <c r="B130" s="20" t="s">
        <v>27</v>
      </c>
      <c r="C130" s="21">
        <f>SUBTOTAL(109,'Enrollment By Major(STEM) Trend'!$C$94:$C$129)</f>
        <v>102974</v>
      </c>
      <c r="D130" s="21">
        <f>SUBTOTAL(109,'Enrollment By Major(STEM) Trend'!$D$94:$D$129)</f>
        <v>102900</v>
      </c>
      <c r="E130" s="21">
        <f>SUBTOTAL(109,'Enrollment By Major(STEM) Trend'!$E$94:$E$129)</f>
        <v>100350</v>
      </c>
      <c r="F130" s="21">
        <f>SUBTOTAL(109,'Enrollment By Major(STEM) Trend'!$F$94:$F$129)</f>
        <v>98396</v>
      </c>
      <c r="G130" s="21">
        <f>SUBTOTAL(109,'Enrollment By Major(STEM) Trend'!$G$94:$G$129)</f>
        <v>95804</v>
      </c>
      <c r="H130" s="21">
        <f>SUBTOTAL(109,'Enrollment By Major(STEM) Trend'!$H$94:$H$129)</f>
        <v>92818</v>
      </c>
      <c r="I130" s="21">
        <f>SUBTOTAL(109,'Enrollment By Major(STEM) Trend'!$I$94:$I$129)</f>
        <v>89800</v>
      </c>
      <c r="J130" s="21">
        <f>SUBTOTAL(109,'Enrollment By Major(STEM) Trend'!$J$94:$J$129)</f>
        <v>86971</v>
      </c>
      <c r="K130" s="21">
        <f>SUBTOTAL(109,'Enrollment By Major(STEM) Trend'!$K$94:$K$129)</f>
        <v>82805</v>
      </c>
      <c r="L130" s="21">
        <f>SUBTOTAL(109,'Enrollment By Major(STEM) Trend'!$L$94:$L$129)</f>
        <v>80118</v>
      </c>
      <c r="M130" s="60"/>
    </row>
    <row r="131" spans="2:13" x14ac:dyDescent="0.2">
      <c r="B131" s="20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60"/>
    </row>
    <row r="132" spans="2:13" x14ac:dyDescent="0.2">
      <c r="B132" s="20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60"/>
    </row>
    <row r="137" spans="2:13" ht="15" x14ac:dyDescent="0.2">
      <c r="B137" s="127" t="str">
        <f>CONCATENATE("Total Number of Bachelor Degree Seeking Enrollments by Major* ", IF(RIGHT(Parameters!B1,1) = "1","Fall ", "Spring "),IF(RIGHT(Parameters!B1,1)  = "1",LEFT(Parameters!B1,4) -9, LEFT(Parameters!B1,4)-8 ),"-",IF(RIGHT(Parameters!B1,1)  = "1",LEFT(Parameters!B1,4), LEFT(Parameters!B1,4)+1 ))</f>
        <v>Total Number of Bachelor Degree Seeking Enrollments by Major* Fall 2010-2019</v>
      </c>
      <c r="C137" s="127"/>
      <c r="D137" s="127"/>
      <c r="E137" s="127"/>
      <c r="F137" s="127"/>
      <c r="G137" s="127"/>
      <c r="H137" s="127"/>
      <c r="I137" s="127"/>
      <c r="J137" s="127"/>
      <c r="K137" s="127"/>
      <c r="L137" s="127"/>
      <c r="M137" s="98"/>
    </row>
    <row r="138" spans="2:13" x14ac:dyDescent="0.2">
      <c r="B138" s="52" t="s">
        <v>397</v>
      </c>
      <c r="C138" s="52" t="str">
        <f>CONCATENATE(IF(RIGHT(Parameters!B1,1) = "1","Fall ", "Spring "),IF(RIGHT(Parameters!B1,1) = "1",LEFT(Parameters!B1,4) -9, LEFT(Parameters!B1,4) - 8))</f>
        <v>Fall 2010</v>
      </c>
      <c r="D138" s="52" t="str">
        <f>CONCATENATE(IF(RIGHT(Parameters!B1,1) = "1","Fall ", "Spring "),IF(RIGHT(Parameters!B1,1) = "1",LEFT(Parameters!B1,4) -8, LEFT(Parameters!B1,4) - 7))</f>
        <v>Fall 2011</v>
      </c>
      <c r="E138" s="52" t="str">
        <f>CONCATENATE(IF(RIGHT(Parameters!B1,1) = "1","Fall ", "Spring "),IF(RIGHT(Parameters!B1,1) = "1",LEFT(Parameters!B1,4) -7, LEFT(Parameters!B1,4) - 6))</f>
        <v>Fall 2012</v>
      </c>
      <c r="F138" s="52" t="str">
        <f>CONCATENATE(IF(RIGHT(Parameters!B1,1) = "1","Fall ", "Spring "),IF(RIGHT(Parameters!B1,1) = "1",LEFT(Parameters!B1,4) -6, LEFT(Parameters!B1,4) - 5))</f>
        <v>Fall 2013</v>
      </c>
      <c r="G138" s="52" t="str">
        <f>CONCATENATE(IF(RIGHT(Parameters!B1,1) = "1","Fall ", "Spring "),IF(RIGHT(Parameters!B1,1) = "1",LEFT(Parameters!B1,4) -5, LEFT(Parameters!B1,4) - 4))</f>
        <v>Fall 2014</v>
      </c>
      <c r="H138" s="52" t="str">
        <f>CONCATENATE(IF(RIGHT(Parameters!B1,1) = "1","Fall ", "Spring "),IF(RIGHT(Parameters!B1,1) = "1",LEFT(Parameters!B1,4) -4, LEFT(Parameters!B1,4) - 3))</f>
        <v>Fall 2015</v>
      </c>
      <c r="I138" s="52" t="str">
        <f>CONCATENATE(IF(RIGHT(Parameters!B1,1) = "1","Fall ", "Spring "),IF(RIGHT(Parameters!B1,1) = "1",LEFT(Parameters!B1,4) -3, LEFT(Parameters!B1,4) -2 ))</f>
        <v>Fall 2016</v>
      </c>
      <c r="J138" s="52" t="str">
        <f>CONCATENATE(IF(RIGHT(Parameters!B1,1) = "1","Fall ", "Spring "),IF(RIGHT(Parameters!B1,1) = "1",LEFT(Parameters!B1,4) -2, LEFT(Parameters!B1,4) -1 ))</f>
        <v>Fall 2017</v>
      </c>
      <c r="K138" s="52" t="str">
        <f>CONCATENATE(IF(RIGHT(Parameters!B1,1) = "1","Fall ", "Spring "),IF(RIGHT(Parameters!B1,1) = "1",LEFT(Parameters!B1,4) -1, LEFT(Parameters!B1,4)  ))</f>
        <v>Fall 2018</v>
      </c>
      <c r="L138" s="52" t="str">
        <f>CONCATENATE(IF(RIGHT(Parameters!B1,1) = "1","Fall ", "Spring "),IF(RIGHT(Parameters!B1,1) = "1",LEFT(Parameters!B1,4), LEFT(Parameters!B1,4) + 1))</f>
        <v>Fall 2019</v>
      </c>
      <c r="M138" s="60"/>
    </row>
    <row r="139" spans="2:13" ht="14.25" hidden="1" customHeight="1" x14ac:dyDescent="0.2">
      <c r="B139" s="60" t="s">
        <v>397</v>
      </c>
      <c r="C139" s="60" t="s">
        <v>3</v>
      </c>
      <c r="D139" s="60" t="s">
        <v>4</v>
      </c>
      <c r="E139" s="60" t="s">
        <v>5</v>
      </c>
      <c r="F139" s="60" t="s">
        <v>6</v>
      </c>
      <c r="G139" s="60" t="s">
        <v>7</v>
      </c>
      <c r="H139" s="60" t="s">
        <v>8</v>
      </c>
      <c r="I139" s="60" t="s">
        <v>9</v>
      </c>
      <c r="J139" s="60" t="s">
        <v>10</v>
      </c>
      <c r="K139" s="60" t="s">
        <v>11</v>
      </c>
      <c r="L139" s="60" t="s">
        <v>12</v>
      </c>
      <c r="M139" s="60"/>
    </row>
    <row r="140" spans="2:13" x14ac:dyDescent="0.2">
      <c r="B140" s="103" t="s">
        <v>398</v>
      </c>
      <c r="C140" s="104">
        <v>0</v>
      </c>
      <c r="D140" s="104">
        <v>0</v>
      </c>
      <c r="E140" s="104">
        <v>0</v>
      </c>
      <c r="F140" s="104">
        <v>0</v>
      </c>
      <c r="G140" s="104">
        <v>0</v>
      </c>
      <c r="H140" s="104">
        <v>0</v>
      </c>
      <c r="I140" s="104">
        <v>0</v>
      </c>
      <c r="J140" s="104">
        <v>0</v>
      </c>
      <c r="K140" s="104">
        <v>13</v>
      </c>
      <c r="L140" s="104">
        <v>0</v>
      </c>
      <c r="M140" s="60"/>
    </row>
    <row r="141" spans="2:13" x14ac:dyDescent="0.2">
      <c r="B141" s="105" t="s">
        <v>399</v>
      </c>
      <c r="C141" s="106">
        <v>35</v>
      </c>
      <c r="D141" s="106">
        <v>36</v>
      </c>
      <c r="E141" s="106">
        <v>47</v>
      </c>
      <c r="F141" s="106">
        <v>45</v>
      </c>
      <c r="G141" s="106">
        <v>46</v>
      </c>
      <c r="H141" s="106">
        <v>47</v>
      </c>
      <c r="I141" s="106">
        <v>43</v>
      </c>
      <c r="J141" s="106">
        <v>65</v>
      </c>
      <c r="K141" s="106">
        <v>84</v>
      </c>
      <c r="L141" s="106">
        <v>76</v>
      </c>
      <c r="M141" s="60"/>
    </row>
    <row r="142" spans="2:13" x14ac:dyDescent="0.2">
      <c r="B142" s="105" t="s">
        <v>400</v>
      </c>
      <c r="C142" s="106">
        <v>117</v>
      </c>
      <c r="D142" s="106">
        <v>120</v>
      </c>
      <c r="E142" s="106">
        <v>122</v>
      </c>
      <c r="F142" s="106">
        <v>148</v>
      </c>
      <c r="G142" s="106">
        <v>146</v>
      </c>
      <c r="H142" s="106">
        <v>131</v>
      </c>
      <c r="I142" s="106">
        <v>117</v>
      </c>
      <c r="J142" s="106">
        <v>114</v>
      </c>
      <c r="K142" s="106">
        <v>102</v>
      </c>
      <c r="L142" s="106">
        <v>89</v>
      </c>
      <c r="M142" s="60"/>
    </row>
    <row r="143" spans="2:13" x14ac:dyDescent="0.2">
      <c r="B143" s="105" t="s">
        <v>402</v>
      </c>
      <c r="C143" s="106">
        <v>12633</v>
      </c>
      <c r="D143" s="106">
        <v>12539</v>
      </c>
      <c r="E143" s="106">
        <v>13089</v>
      </c>
      <c r="F143" s="106">
        <v>13723</v>
      </c>
      <c r="G143" s="106">
        <v>14683</v>
      </c>
      <c r="H143" s="106">
        <v>14907</v>
      </c>
      <c r="I143" s="106">
        <v>14806</v>
      </c>
      <c r="J143" s="106">
        <v>14463</v>
      </c>
      <c r="K143" s="106">
        <v>13452</v>
      </c>
      <c r="L143" s="106">
        <v>12417</v>
      </c>
      <c r="M143" s="60"/>
    </row>
    <row r="144" spans="2:13" x14ac:dyDescent="0.2">
      <c r="B144" s="105" t="s">
        <v>403</v>
      </c>
      <c r="C144" s="106">
        <v>123</v>
      </c>
      <c r="D144" s="106">
        <v>121</v>
      </c>
      <c r="E144" s="106">
        <v>115</v>
      </c>
      <c r="F144" s="106">
        <v>126</v>
      </c>
      <c r="G144" s="106">
        <v>112</v>
      </c>
      <c r="H144" s="106">
        <v>124</v>
      </c>
      <c r="I144" s="106">
        <v>139</v>
      </c>
      <c r="J144" s="106">
        <v>152</v>
      </c>
      <c r="K144" s="106">
        <v>140</v>
      </c>
      <c r="L144" s="106">
        <v>135</v>
      </c>
      <c r="M144" s="60"/>
    </row>
    <row r="145" spans="2:12" x14ac:dyDescent="0.2">
      <c r="B145" s="105" t="s">
        <v>404</v>
      </c>
      <c r="C145" s="106">
        <v>3417</v>
      </c>
      <c r="D145" s="106">
        <v>3400</v>
      </c>
      <c r="E145" s="106">
        <v>3523</v>
      </c>
      <c r="F145" s="106">
        <v>3466</v>
      </c>
      <c r="G145" s="106">
        <v>3381</v>
      </c>
      <c r="H145" s="106">
        <v>3168</v>
      </c>
      <c r="I145" s="106">
        <v>3487</v>
      </c>
      <c r="J145" s="106">
        <v>3213</v>
      </c>
      <c r="K145" s="106">
        <v>2868</v>
      </c>
      <c r="L145" s="106">
        <v>2837</v>
      </c>
    </row>
    <row r="146" spans="2:12" x14ac:dyDescent="0.2">
      <c r="B146" s="105" t="s">
        <v>405</v>
      </c>
      <c r="C146" s="106">
        <v>155</v>
      </c>
      <c r="D146" s="106">
        <v>162</v>
      </c>
      <c r="E146" s="106">
        <v>176</v>
      </c>
      <c r="F146" s="106">
        <v>203</v>
      </c>
      <c r="G146" s="106">
        <v>0</v>
      </c>
      <c r="H146" s="106">
        <v>0</v>
      </c>
      <c r="I146" s="106">
        <v>0</v>
      </c>
      <c r="J146" s="106">
        <v>0</v>
      </c>
      <c r="K146" s="106">
        <v>0</v>
      </c>
      <c r="L146" s="106">
        <v>0</v>
      </c>
    </row>
    <row r="147" spans="2:12" x14ac:dyDescent="0.2">
      <c r="B147" s="105" t="s">
        <v>406</v>
      </c>
      <c r="C147" s="106">
        <v>11281</v>
      </c>
      <c r="D147" s="106">
        <v>10947</v>
      </c>
      <c r="E147" s="106">
        <v>9162</v>
      </c>
      <c r="F147" s="106">
        <v>7977</v>
      </c>
      <c r="G147" s="106">
        <v>7099</v>
      </c>
      <c r="H147" s="106">
        <v>6817</v>
      </c>
      <c r="I147" s="106">
        <v>6795</v>
      </c>
      <c r="J147" s="106">
        <v>6595</v>
      </c>
      <c r="K147" s="106">
        <v>6689</v>
      </c>
      <c r="L147" s="106">
        <v>6893</v>
      </c>
    </row>
    <row r="148" spans="2:12" x14ac:dyDescent="0.2">
      <c r="B148" s="105" t="s">
        <v>408</v>
      </c>
      <c r="C148" s="106">
        <v>254</v>
      </c>
      <c r="D148" s="106">
        <v>209</v>
      </c>
      <c r="E148" s="106">
        <v>149</v>
      </c>
      <c r="F148" s="106">
        <v>162</v>
      </c>
      <c r="G148" s="106">
        <v>0</v>
      </c>
      <c r="H148" s="106">
        <v>0</v>
      </c>
      <c r="I148" s="106">
        <v>19</v>
      </c>
      <c r="J148" s="106">
        <v>0</v>
      </c>
      <c r="K148" s="106">
        <v>0</v>
      </c>
      <c r="L148" s="106">
        <v>0</v>
      </c>
    </row>
    <row r="149" spans="2:12" x14ac:dyDescent="0.2">
      <c r="B149" s="105" t="s">
        <v>409</v>
      </c>
      <c r="C149" s="106">
        <v>4129</v>
      </c>
      <c r="D149" s="106">
        <v>4155</v>
      </c>
      <c r="E149" s="106">
        <v>3615</v>
      </c>
      <c r="F149" s="106">
        <v>3367</v>
      </c>
      <c r="G149" s="106">
        <v>3115</v>
      </c>
      <c r="H149" s="106">
        <v>2996</v>
      </c>
      <c r="I149" s="106">
        <v>2454</v>
      </c>
      <c r="J149" s="106">
        <v>2423</v>
      </c>
      <c r="K149" s="106">
        <v>2249</v>
      </c>
      <c r="L149" s="106">
        <v>2108</v>
      </c>
    </row>
    <row r="150" spans="2:12" x14ac:dyDescent="0.2">
      <c r="B150" s="105" t="s">
        <v>410</v>
      </c>
      <c r="C150" s="106">
        <v>446</v>
      </c>
      <c r="D150" s="106">
        <v>475</v>
      </c>
      <c r="E150" s="106">
        <v>142</v>
      </c>
      <c r="F150" s="106">
        <v>127</v>
      </c>
      <c r="G150" s="106">
        <v>0</v>
      </c>
      <c r="H150" s="106">
        <v>0</v>
      </c>
      <c r="I150" s="106">
        <v>0</v>
      </c>
      <c r="J150" s="106">
        <v>0</v>
      </c>
      <c r="K150" s="106">
        <v>0</v>
      </c>
      <c r="L150" s="106">
        <v>0</v>
      </c>
    </row>
    <row r="151" spans="2:12" x14ac:dyDescent="0.2">
      <c r="B151" s="105" t="s">
        <v>411</v>
      </c>
      <c r="C151" s="106">
        <v>608</v>
      </c>
      <c r="D151" s="106">
        <v>658</v>
      </c>
      <c r="E151" s="106">
        <v>563</v>
      </c>
      <c r="F151" s="106">
        <v>562</v>
      </c>
      <c r="G151" s="106">
        <v>556</v>
      </c>
      <c r="H151" s="106">
        <v>480</v>
      </c>
      <c r="I151" s="106">
        <v>402</v>
      </c>
      <c r="J151" s="106">
        <v>349</v>
      </c>
      <c r="K151" s="106">
        <v>255</v>
      </c>
      <c r="L151" s="106">
        <v>190</v>
      </c>
    </row>
    <row r="152" spans="2:12" x14ac:dyDescent="0.2">
      <c r="B152" s="105" t="s">
        <v>412</v>
      </c>
      <c r="C152" s="106">
        <v>855</v>
      </c>
      <c r="D152" s="106">
        <v>831</v>
      </c>
      <c r="E152" s="106">
        <v>816</v>
      </c>
      <c r="F152" s="106">
        <v>726</v>
      </c>
      <c r="G152" s="106">
        <v>636</v>
      </c>
      <c r="H152" s="106">
        <v>578</v>
      </c>
      <c r="I152" s="106">
        <v>513</v>
      </c>
      <c r="J152" s="106">
        <v>511</v>
      </c>
      <c r="K152" s="106">
        <v>492</v>
      </c>
      <c r="L152" s="106">
        <v>482</v>
      </c>
    </row>
    <row r="153" spans="2:12" x14ac:dyDescent="0.2">
      <c r="B153" s="105" t="s">
        <v>413</v>
      </c>
      <c r="C153" s="106">
        <v>8129</v>
      </c>
      <c r="D153" s="106">
        <v>8714</v>
      </c>
      <c r="E153" s="106">
        <v>9156</v>
      </c>
      <c r="F153" s="106">
        <v>9832</v>
      </c>
      <c r="G153" s="106">
        <v>9982</v>
      </c>
      <c r="H153" s="106">
        <v>9993</v>
      </c>
      <c r="I153" s="106">
        <v>10000</v>
      </c>
      <c r="J153" s="106">
        <v>9715</v>
      </c>
      <c r="K153" s="106">
        <v>9415</v>
      </c>
      <c r="L153" s="106">
        <v>9031</v>
      </c>
    </row>
    <row r="154" spans="2:12" x14ac:dyDescent="0.2">
      <c r="B154" s="105" t="s">
        <v>414</v>
      </c>
      <c r="C154" s="106">
        <v>2106</v>
      </c>
      <c r="D154" s="106">
        <v>2225</v>
      </c>
      <c r="E154" s="106">
        <v>1933</v>
      </c>
      <c r="F154" s="106">
        <v>1674</v>
      </c>
      <c r="G154" s="106">
        <v>1423</v>
      </c>
      <c r="H154" s="106">
        <v>1253</v>
      </c>
      <c r="I154" s="106">
        <v>1118</v>
      </c>
      <c r="J154" s="106">
        <v>1048</v>
      </c>
      <c r="K154" s="106">
        <v>1014</v>
      </c>
      <c r="L154" s="106">
        <v>1000</v>
      </c>
    </row>
    <row r="155" spans="2:12" x14ac:dyDescent="0.2">
      <c r="B155" s="105" t="s">
        <v>416</v>
      </c>
      <c r="C155" s="106">
        <v>0</v>
      </c>
      <c r="D155" s="106">
        <v>165</v>
      </c>
      <c r="E155" s="106">
        <v>0</v>
      </c>
      <c r="F155" s="106">
        <v>27</v>
      </c>
      <c r="G155" s="106">
        <v>60</v>
      </c>
      <c r="H155" s="106">
        <v>92</v>
      </c>
      <c r="I155" s="106">
        <v>79</v>
      </c>
      <c r="J155" s="106">
        <v>82</v>
      </c>
      <c r="K155" s="106">
        <v>75</v>
      </c>
      <c r="L155" s="106">
        <v>62</v>
      </c>
    </row>
    <row r="156" spans="2:12" x14ac:dyDescent="0.2">
      <c r="B156" s="105" t="s">
        <v>418</v>
      </c>
      <c r="C156" s="106">
        <v>1190</v>
      </c>
      <c r="D156" s="106">
        <v>1234</v>
      </c>
      <c r="E156" s="106">
        <v>1207</v>
      </c>
      <c r="F156" s="106">
        <v>1149</v>
      </c>
      <c r="G156" s="106">
        <v>1280</v>
      </c>
      <c r="H156" s="106">
        <v>868</v>
      </c>
      <c r="I156" s="106">
        <v>813</v>
      </c>
      <c r="J156" s="106">
        <v>822</v>
      </c>
      <c r="K156" s="106">
        <v>781</v>
      </c>
      <c r="L156" s="106">
        <v>840</v>
      </c>
    </row>
    <row r="157" spans="2:12" x14ac:dyDescent="0.2">
      <c r="B157" s="105" t="s">
        <v>419</v>
      </c>
      <c r="C157" s="106">
        <v>131</v>
      </c>
      <c r="D157" s="106">
        <v>137</v>
      </c>
      <c r="E157" s="106">
        <v>115</v>
      </c>
      <c r="F157" s="106">
        <v>84</v>
      </c>
      <c r="G157" s="106">
        <v>54</v>
      </c>
      <c r="H157" s="106">
        <v>35</v>
      </c>
      <c r="I157" s="106">
        <v>27</v>
      </c>
      <c r="J157" s="106">
        <v>25</v>
      </c>
      <c r="K157" s="106">
        <v>29</v>
      </c>
      <c r="L157" s="106">
        <v>32</v>
      </c>
    </row>
    <row r="158" spans="2:12" x14ac:dyDescent="0.2">
      <c r="B158" s="105" t="s">
        <v>420</v>
      </c>
      <c r="C158" s="106">
        <v>9</v>
      </c>
      <c r="D158" s="106">
        <v>4</v>
      </c>
      <c r="E158" s="106">
        <v>2</v>
      </c>
      <c r="F158" s="106">
        <v>0</v>
      </c>
      <c r="G158" s="106">
        <v>0</v>
      </c>
      <c r="H158" s="106">
        <v>0</v>
      </c>
      <c r="I158" s="106">
        <v>0</v>
      </c>
      <c r="J158" s="106">
        <v>0</v>
      </c>
      <c r="K158" s="106">
        <v>1</v>
      </c>
      <c r="L158" s="106">
        <v>0</v>
      </c>
    </row>
    <row r="159" spans="2:12" x14ac:dyDescent="0.2">
      <c r="B159" s="105" t="s">
        <v>421</v>
      </c>
      <c r="C159" s="106">
        <v>561</v>
      </c>
      <c r="D159" s="106">
        <v>576</v>
      </c>
      <c r="E159" s="106">
        <v>165</v>
      </c>
      <c r="F159" s="106">
        <v>184</v>
      </c>
      <c r="G159" s="106">
        <v>216</v>
      </c>
      <c r="H159" s="106">
        <v>257</v>
      </c>
      <c r="I159" s="106">
        <v>300</v>
      </c>
      <c r="J159" s="106">
        <v>330</v>
      </c>
      <c r="K159" s="106">
        <v>375</v>
      </c>
      <c r="L159" s="106">
        <v>419</v>
      </c>
    </row>
    <row r="160" spans="2:12" x14ac:dyDescent="0.2">
      <c r="B160" s="105" t="s">
        <v>423</v>
      </c>
      <c r="C160" s="106">
        <v>5519</v>
      </c>
      <c r="D160" s="106">
        <v>5555</v>
      </c>
      <c r="E160" s="106">
        <v>5321</v>
      </c>
      <c r="F160" s="106">
        <v>5290</v>
      </c>
      <c r="G160" s="106">
        <v>5118</v>
      </c>
      <c r="H160" s="106">
        <v>4786</v>
      </c>
      <c r="I160" s="106">
        <v>4403</v>
      </c>
      <c r="J160" s="106">
        <v>4421</v>
      </c>
      <c r="K160" s="106">
        <v>4070</v>
      </c>
      <c r="L160" s="106">
        <v>3877</v>
      </c>
    </row>
    <row r="161" spans="2:12" x14ac:dyDescent="0.2">
      <c r="B161" s="105" t="s">
        <v>425</v>
      </c>
      <c r="C161" s="106">
        <v>0</v>
      </c>
      <c r="D161" s="106">
        <v>0</v>
      </c>
      <c r="E161" s="106">
        <v>0</v>
      </c>
      <c r="F161" s="106">
        <v>0</v>
      </c>
      <c r="G161" s="106">
        <v>0</v>
      </c>
      <c r="H161" s="106">
        <v>0</v>
      </c>
      <c r="I161" s="106">
        <v>0</v>
      </c>
      <c r="J161" s="106">
        <v>0</v>
      </c>
      <c r="K161" s="106">
        <v>133</v>
      </c>
      <c r="L161" s="106">
        <v>117</v>
      </c>
    </row>
    <row r="162" spans="2:12" x14ac:dyDescent="0.2">
      <c r="B162" s="105" t="s">
        <v>426</v>
      </c>
      <c r="C162" s="106">
        <v>14</v>
      </c>
      <c r="D162" s="106">
        <v>14</v>
      </c>
      <c r="E162" s="106">
        <v>8</v>
      </c>
      <c r="F162" s="106">
        <v>32</v>
      </c>
      <c r="G162" s="106">
        <v>0</v>
      </c>
      <c r="H162" s="106">
        <v>0</v>
      </c>
      <c r="I162" s="106">
        <v>0</v>
      </c>
      <c r="J162" s="106">
        <v>0</v>
      </c>
      <c r="K162" s="106">
        <v>0</v>
      </c>
      <c r="L162" s="106">
        <v>0</v>
      </c>
    </row>
    <row r="163" spans="2:12" x14ac:dyDescent="0.2">
      <c r="B163" s="105" t="s">
        <v>427</v>
      </c>
      <c r="C163" s="106">
        <v>3046</v>
      </c>
      <c r="D163" s="106">
        <v>3433</v>
      </c>
      <c r="E163" s="106">
        <v>3515</v>
      </c>
      <c r="F163" s="106">
        <v>3274</v>
      </c>
      <c r="G163" s="106">
        <v>3332</v>
      </c>
      <c r="H163" s="106">
        <v>3530</v>
      </c>
      <c r="I163" s="106">
        <v>3496</v>
      </c>
      <c r="J163" s="106">
        <v>3361</v>
      </c>
      <c r="K163" s="106">
        <v>3426</v>
      </c>
      <c r="L163" s="106">
        <v>3252</v>
      </c>
    </row>
    <row r="164" spans="2:12" x14ac:dyDescent="0.2">
      <c r="B164" s="105" t="s">
        <v>428</v>
      </c>
      <c r="C164" s="106">
        <v>5095</v>
      </c>
      <c r="D164" s="106">
        <v>5331</v>
      </c>
      <c r="E164" s="106">
        <v>5474</v>
      </c>
      <c r="F164" s="106">
        <v>5391</v>
      </c>
      <c r="G164" s="106">
        <v>4994</v>
      </c>
      <c r="H164" s="106">
        <v>4738</v>
      </c>
      <c r="I164" s="106">
        <v>4418</v>
      </c>
      <c r="J164" s="106">
        <v>4260</v>
      </c>
      <c r="K164" s="106">
        <v>3976</v>
      </c>
      <c r="L164" s="106">
        <v>3983</v>
      </c>
    </row>
    <row r="165" spans="2:12" x14ac:dyDescent="0.2">
      <c r="B165" s="105" t="s">
        <v>429</v>
      </c>
      <c r="C165" s="106">
        <v>1657</v>
      </c>
      <c r="D165" s="106">
        <v>1841</v>
      </c>
      <c r="E165" s="106">
        <v>2006</v>
      </c>
      <c r="F165" s="106">
        <v>2141</v>
      </c>
      <c r="G165" s="106">
        <v>2214</v>
      </c>
      <c r="H165" s="106">
        <v>2156</v>
      </c>
      <c r="I165" s="106">
        <v>2025</v>
      </c>
      <c r="J165" s="106">
        <v>1870</v>
      </c>
      <c r="K165" s="106">
        <v>1814</v>
      </c>
      <c r="L165" s="106">
        <v>1703</v>
      </c>
    </row>
    <row r="166" spans="2:12" x14ac:dyDescent="0.2">
      <c r="B166" s="105" t="s">
        <v>430</v>
      </c>
      <c r="C166" s="106">
        <v>221</v>
      </c>
      <c r="D166" s="106">
        <v>223</v>
      </c>
      <c r="E166" s="106">
        <v>255</v>
      </c>
      <c r="F166" s="106">
        <v>223</v>
      </c>
      <c r="G166" s="106">
        <v>216</v>
      </c>
      <c r="H166" s="106">
        <v>202</v>
      </c>
      <c r="I166" s="106">
        <v>163</v>
      </c>
      <c r="J166" s="106">
        <v>167</v>
      </c>
      <c r="K166" s="106">
        <v>0</v>
      </c>
      <c r="L166" s="106">
        <v>0</v>
      </c>
    </row>
    <row r="167" spans="2:12" x14ac:dyDescent="0.2">
      <c r="B167" s="105" t="s">
        <v>433</v>
      </c>
      <c r="C167" s="106">
        <v>6758</v>
      </c>
      <c r="D167" s="106">
        <v>6181</v>
      </c>
      <c r="E167" s="106">
        <v>6132</v>
      </c>
      <c r="F167" s="106">
        <v>6065</v>
      </c>
      <c r="G167" s="106">
        <v>5654</v>
      </c>
      <c r="H167" s="106">
        <v>5183</v>
      </c>
      <c r="I167" s="106">
        <v>4796</v>
      </c>
      <c r="J167" s="106">
        <v>4528</v>
      </c>
      <c r="K167" s="106">
        <v>4064</v>
      </c>
      <c r="L167" s="106">
        <v>3825</v>
      </c>
    </row>
    <row r="168" spans="2:12" x14ac:dyDescent="0.2">
      <c r="B168" s="105" t="s">
        <v>436</v>
      </c>
      <c r="C168" s="106">
        <v>12229</v>
      </c>
      <c r="D168" s="106">
        <v>12404</v>
      </c>
      <c r="E168" s="106">
        <v>13734</v>
      </c>
      <c r="F168" s="106">
        <v>13750</v>
      </c>
      <c r="G168" s="106">
        <v>14660</v>
      </c>
      <c r="H168" s="106">
        <v>14682</v>
      </c>
      <c r="I168" s="106">
        <v>14338</v>
      </c>
      <c r="J168" s="106">
        <v>14311</v>
      </c>
      <c r="K168" s="106">
        <v>13633</v>
      </c>
      <c r="L168" s="106">
        <v>13210</v>
      </c>
    </row>
    <row r="169" spans="2:12" x14ac:dyDescent="0.2">
      <c r="B169" s="105" t="s">
        <v>434</v>
      </c>
      <c r="C169" s="106">
        <v>11143</v>
      </c>
      <c r="D169" s="106">
        <v>11039</v>
      </c>
      <c r="E169" s="106">
        <v>10489</v>
      </c>
      <c r="F169" s="106">
        <v>9986</v>
      </c>
      <c r="G169" s="106">
        <v>8821</v>
      </c>
      <c r="H169" s="106">
        <v>8430</v>
      </c>
      <c r="I169" s="106">
        <v>7862</v>
      </c>
      <c r="J169" s="106">
        <v>6811</v>
      </c>
      <c r="K169" s="106">
        <v>6518</v>
      </c>
      <c r="L169" s="106">
        <v>6204</v>
      </c>
    </row>
    <row r="170" spans="2:12" x14ac:dyDescent="0.2">
      <c r="B170" s="105" t="s">
        <v>435</v>
      </c>
      <c r="C170" s="106">
        <v>5686</v>
      </c>
      <c r="D170" s="106">
        <v>5502</v>
      </c>
      <c r="E170" s="106">
        <v>5143</v>
      </c>
      <c r="F170" s="106">
        <v>4870</v>
      </c>
      <c r="G170" s="106">
        <v>4494</v>
      </c>
      <c r="H170" s="106">
        <v>4018</v>
      </c>
      <c r="I170" s="106">
        <v>3936</v>
      </c>
      <c r="J170" s="106">
        <v>3904</v>
      </c>
      <c r="K170" s="106">
        <v>3857</v>
      </c>
      <c r="L170" s="106">
        <v>3854</v>
      </c>
    </row>
    <row r="171" spans="2:12" x14ac:dyDescent="0.2">
      <c r="B171" s="20" t="s">
        <v>27</v>
      </c>
      <c r="C171" s="21">
        <f>SUBTOTAL(109,'Enrollment By Major(STEM) Trend'!$C$140:$C$170)</f>
        <v>97547</v>
      </c>
      <c r="D171" s="21">
        <f>SUBTOTAL(109,'Enrollment By Major(STEM) Trend'!$D$140:$D$170)</f>
        <v>98231</v>
      </c>
      <c r="E171" s="21">
        <f>SUBTOTAL(109,'Enrollment By Major(STEM) Trend'!$E$140:$E$170)</f>
        <v>96174</v>
      </c>
      <c r="F171" s="21">
        <f>SUBTOTAL(109,'Enrollment By Major(STEM) Trend'!$F$140:$F$170)</f>
        <v>94604</v>
      </c>
      <c r="G171" s="21">
        <f>SUBTOTAL(109,'Enrollment By Major(STEM) Trend'!$G$140:$G$170)</f>
        <v>92292</v>
      </c>
      <c r="H171" s="21">
        <f>SUBTOTAL(109,'Enrollment By Major(STEM) Trend'!$H$140:$H$170)</f>
        <v>89471</v>
      </c>
      <c r="I171" s="21">
        <f>SUBTOTAL(109,'Enrollment By Major(STEM) Trend'!$I$140:$I$170)</f>
        <v>86549</v>
      </c>
      <c r="J171" s="21">
        <f>SUBTOTAL(109,'Enrollment By Major(STEM) Trend'!$J$140:$J$170)</f>
        <v>83540</v>
      </c>
      <c r="K171" s="21">
        <f>SUBTOTAL(109,'Enrollment By Major(STEM) Trend'!$K$140:$K$170)</f>
        <v>79525</v>
      </c>
      <c r="L171" s="21">
        <f>SUBTOTAL(109,'Enrollment By Major(STEM) Trend'!$L$140:$L$170)</f>
        <v>76636</v>
      </c>
    </row>
    <row r="172" spans="2:12" x14ac:dyDescent="0.2">
      <c r="B172" s="20"/>
      <c r="C172" s="21"/>
      <c r="D172" s="21"/>
      <c r="E172" s="21"/>
      <c r="F172" s="21"/>
      <c r="G172" s="21"/>
      <c r="H172" s="21"/>
      <c r="I172" s="21"/>
      <c r="J172" s="21"/>
      <c r="K172" s="21"/>
      <c r="L172" s="21"/>
    </row>
    <row r="173" spans="2:12" x14ac:dyDescent="0.2">
      <c r="B173" s="20"/>
      <c r="C173" s="21"/>
      <c r="D173" s="21"/>
      <c r="E173" s="21"/>
      <c r="F173" s="21"/>
      <c r="G173" s="21"/>
      <c r="H173" s="21"/>
      <c r="I173" s="21"/>
      <c r="J173" s="21"/>
      <c r="K173" s="21"/>
      <c r="L173" s="21"/>
    </row>
  </sheetData>
  <mergeCells count="5">
    <mergeCell ref="B1:L1"/>
    <mergeCell ref="B2:L2"/>
    <mergeCell ref="B48:L48"/>
    <mergeCell ref="B137:L137"/>
    <mergeCell ref="B91:L91"/>
  </mergeCells>
  <printOptions horizontalCentered="1"/>
  <pageMargins left="0.5" right="0.5" top="1" bottom="0.5" header="0.3" footer="0.3"/>
  <pageSetup scale="51" fitToHeight="0" orientation="portrait" r:id="rId1"/>
  <headerFooter>
    <oddHeader>&amp;L&amp;"Arial,Regular"&amp;10Pennsylvania's State System of Higher Education | &amp;D
Office of Educational Intelligence | Page &amp;P of &amp;N</oddHeader>
  </headerFooter>
  <rowBreaks count="1" manualBreakCount="1">
    <brk id="77" min="1" max="1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6"/>
  <sheetViews>
    <sheetView workbookViewId="0">
      <selection activeCell="J8" sqref="J8"/>
    </sheetView>
  </sheetViews>
  <sheetFormatPr defaultRowHeight="14.25" x14ac:dyDescent="0.2"/>
  <cols>
    <col min="1" max="1" width="23.140625" style="4" customWidth="1"/>
    <col min="2" max="16384" width="9.140625" style="4"/>
  </cols>
  <sheetData>
    <row r="1" spans="1:2" x14ac:dyDescent="0.2">
      <c r="A1" s="26" t="s">
        <v>437</v>
      </c>
      <c r="B1" s="26">
        <v>20191</v>
      </c>
    </row>
    <row r="2" spans="1:2" x14ac:dyDescent="0.2">
      <c r="A2" s="26" t="s">
        <v>438</v>
      </c>
      <c r="B2" s="26" t="s">
        <v>439</v>
      </c>
    </row>
    <row r="3" spans="1:2" x14ac:dyDescent="0.2">
      <c r="A3" s="26" t="s">
        <v>440</v>
      </c>
      <c r="B3" s="26" t="s">
        <v>441</v>
      </c>
    </row>
    <row r="4" spans="1:2" x14ac:dyDescent="0.2">
      <c r="A4" s="26" t="s">
        <v>442</v>
      </c>
      <c r="B4" s="26" t="s">
        <v>443</v>
      </c>
    </row>
    <row r="5" spans="1:2" x14ac:dyDescent="0.2">
      <c r="A5" s="26" t="s">
        <v>444</v>
      </c>
      <c r="B5" s="26" t="s">
        <v>445</v>
      </c>
    </row>
    <row r="6" spans="1:2" x14ac:dyDescent="0.2">
      <c r="A6" s="26" t="s">
        <v>446</v>
      </c>
      <c r="B6" s="26" t="s">
        <v>445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AF64"/>
  <sheetViews>
    <sheetView zoomScaleNormal="100" workbookViewId="0">
      <selection activeCell="B64" sqref="B64"/>
    </sheetView>
  </sheetViews>
  <sheetFormatPr defaultColWidth="9.140625" defaultRowHeight="14.25" x14ac:dyDescent="0.2"/>
  <cols>
    <col min="1" max="1" width="4.42578125" style="5" customWidth="1"/>
    <col min="2" max="2" width="23.5703125" style="5" customWidth="1"/>
    <col min="3" max="32" width="10.7109375" style="5" customWidth="1"/>
    <col min="33" max="33" width="7.28515625" style="5" customWidth="1"/>
    <col min="34" max="34" width="7.7109375" style="5" customWidth="1"/>
    <col min="35" max="35" width="7.5703125" style="5" customWidth="1"/>
    <col min="36" max="36" width="7.28515625" style="5" customWidth="1"/>
    <col min="37" max="37" width="7.7109375" style="5" customWidth="1"/>
    <col min="38" max="38" width="7.5703125" style="5" customWidth="1"/>
    <col min="39" max="39" width="7.28515625" style="5" customWidth="1"/>
    <col min="40" max="40" width="8.85546875" style="5" customWidth="1"/>
    <col min="41" max="41" width="8.7109375" style="5" customWidth="1"/>
    <col min="42" max="42" width="8.42578125" style="5" bestFit="1" customWidth="1"/>
    <col min="43" max="16384" width="9.140625" style="5"/>
  </cols>
  <sheetData>
    <row r="1" spans="2:32" ht="15" x14ac:dyDescent="0.2">
      <c r="B1" s="131" t="s">
        <v>0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</row>
    <row r="2" spans="2:32" ht="15" x14ac:dyDescent="0.2">
      <c r="B2" s="132" t="str">
        <f>CONCATENATE("Total Enrollment by Level ",  IF(RIGHT(Parameters!B1,1) = "1","Fall ", "Spring "),IF(RIGHT(Parameters!B1,1)  = "1",LEFT(Parameters!B1,4) -9, LEFT(Parameters!B1,4)-8 ),"-",IF(RIGHT(Parameters!B1,1)  = "1",LEFT(Parameters!B1,4), LEFT(Parameters!B1,4)+1 ))</f>
        <v>Total Enrollment by Level Fall 2010-2019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</row>
    <row r="3" spans="2:32" ht="15" customHeight="1" x14ac:dyDescent="0.2">
      <c r="B3" s="134" t="s">
        <v>1</v>
      </c>
      <c r="C3" s="133" t="str">
        <f>CONCATENATE(IF(RIGHT(Parameters!B1,1) = "1","Fall ", "Spring "),IF(RIGHT(Parameters!B1,1) = "1",LEFT(Parameters!B1,4) -9, LEFT(Parameters!B1,4) - 8))</f>
        <v>Fall 2010</v>
      </c>
      <c r="D3" s="133"/>
      <c r="E3" s="133"/>
      <c r="F3" s="133" t="str">
        <f>CONCATENATE(IF(RIGHT(Parameters!B1,1) = "1","Fall ", "Spring "),IF(RIGHT(Parameters!B1,1) = "1",LEFT(Parameters!B1,4) -8, LEFT(Parameters!B1,4) - 7))</f>
        <v>Fall 2011</v>
      </c>
      <c r="G3" s="133"/>
      <c r="H3" s="133"/>
      <c r="I3" s="133" t="str">
        <f>CONCATENATE(IF(RIGHT(Parameters!B1,1) = "1","Fall ", "Spring "),IF(RIGHT(Parameters!B1,1) = "1",LEFT(Parameters!B1,4) -7, LEFT(Parameters!B1,4) - 6))</f>
        <v>Fall 2012</v>
      </c>
      <c r="J3" s="133"/>
      <c r="K3" s="133"/>
      <c r="L3" s="133" t="str">
        <f>CONCATENATE(IF(RIGHT(Parameters!B1,1) = "1","Fall ", "Spring "),IF(RIGHT(Parameters!B1,1) = "1",LEFT(Parameters!B1,4) -6, LEFT(Parameters!B1,4) - 5))</f>
        <v>Fall 2013</v>
      </c>
      <c r="M3" s="133"/>
      <c r="N3" s="133"/>
      <c r="O3" s="133" t="str">
        <f>CONCATENATE(IF(RIGHT(Parameters!B1,1) = "1","Fall ", "Spring "),IF(RIGHT(Parameters!B1,1) = "1",LEFT(Parameters!B1,4) -5, LEFT(Parameters!B1,4) - 4))</f>
        <v>Fall 2014</v>
      </c>
      <c r="P3" s="133"/>
      <c r="Q3" s="133"/>
      <c r="R3" s="133" t="str">
        <f>CONCATENATE(IF(RIGHT(Parameters!B1,1) = "1","Fall ", "Spring "),IF(RIGHT(Parameters!B1,1) = "1",LEFT(Parameters!B1,4) -4, LEFT(Parameters!B1,4) - 3))</f>
        <v>Fall 2015</v>
      </c>
      <c r="S3" s="133"/>
      <c r="T3" s="133"/>
      <c r="U3" s="133" t="str">
        <f>CONCATENATE(IF(RIGHT(Parameters!B1,1) = "1","Fall ", "Spring "),IF(RIGHT(Parameters!B1,1) = "1",LEFT(Parameters!B1,4) -3, LEFT(Parameters!B1,4) - 2))</f>
        <v>Fall 2016</v>
      </c>
      <c r="V3" s="133"/>
      <c r="W3" s="133"/>
      <c r="X3" s="133" t="str">
        <f>CONCATENATE(IF(RIGHT(Parameters!B1,1) = "1","Fall ", "Spring "),IF(RIGHT(Parameters!B1,1) = "1",LEFT(Parameters!B1,4) -2, LEFT(Parameters!B1,4) - 1))</f>
        <v>Fall 2017</v>
      </c>
      <c r="Y3" s="133"/>
      <c r="Z3" s="133"/>
      <c r="AA3" s="133" t="str">
        <f>CONCATENATE(IF(RIGHT(Parameters!B1,1) = "1","Fall ", "Spring "),IF(RIGHT(Parameters!B1,1) = "1",LEFT(Parameters!B1,4) -1, LEFT(Parameters!B1,4) ))</f>
        <v>Fall 2018</v>
      </c>
      <c r="AB3" s="133"/>
      <c r="AC3" s="133"/>
      <c r="AD3" s="133" t="str">
        <f>CONCATENATE(IF(RIGHT(Parameters!B1,1) = "1","Fall ", "Spring "),IF(RIGHT(Parameters!B1,1) = "1",LEFT(Parameters!B1,4), LEFT(Parameters!B1,4) + 1))</f>
        <v>Fall 2019</v>
      </c>
      <c r="AE3" s="133"/>
      <c r="AF3" s="133"/>
    </row>
    <row r="4" spans="2:32" x14ac:dyDescent="0.2">
      <c r="B4" s="135"/>
      <c r="C4" s="52" t="s">
        <v>33</v>
      </c>
      <c r="D4" s="52" t="s">
        <v>34</v>
      </c>
      <c r="E4" s="52" t="s">
        <v>35</v>
      </c>
      <c r="F4" s="52" t="s">
        <v>33</v>
      </c>
      <c r="G4" s="52" t="s">
        <v>34</v>
      </c>
      <c r="H4" s="52" t="s">
        <v>35</v>
      </c>
      <c r="I4" s="52" t="s">
        <v>33</v>
      </c>
      <c r="J4" s="52" t="s">
        <v>34</v>
      </c>
      <c r="K4" s="52" t="s">
        <v>35</v>
      </c>
      <c r="L4" s="52" t="s">
        <v>33</v>
      </c>
      <c r="M4" s="52" t="s">
        <v>34</v>
      </c>
      <c r="N4" s="52" t="s">
        <v>35</v>
      </c>
      <c r="O4" s="52" t="s">
        <v>33</v>
      </c>
      <c r="P4" s="52" t="s">
        <v>34</v>
      </c>
      <c r="Q4" s="52" t="s">
        <v>35</v>
      </c>
      <c r="R4" s="52" t="s">
        <v>33</v>
      </c>
      <c r="S4" s="52" t="s">
        <v>34</v>
      </c>
      <c r="T4" s="52" t="s">
        <v>35</v>
      </c>
      <c r="U4" s="52" t="s">
        <v>33</v>
      </c>
      <c r="V4" s="52" t="s">
        <v>34</v>
      </c>
      <c r="W4" s="52" t="s">
        <v>35</v>
      </c>
      <c r="X4" s="52" t="s">
        <v>33</v>
      </c>
      <c r="Y4" s="52" t="s">
        <v>34</v>
      </c>
      <c r="Z4" s="52" t="s">
        <v>35</v>
      </c>
      <c r="AA4" s="52" t="s">
        <v>33</v>
      </c>
      <c r="AB4" s="52" t="s">
        <v>34</v>
      </c>
      <c r="AC4" s="52" t="s">
        <v>35</v>
      </c>
      <c r="AD4" s="52" t="s">
        <v>33</v>
      </c>
      <c r="AE4" s="52" t="s">
        <v>34</v>
      </c>
      <c r="AF4" s="52" t="s">
        <v>35</v>
      </c>
    </row>
    <row r="5" spans="2:32" ht="17.25" hidden="1" customHeight="1" thickBot="1" x14ac:dyDescent="0.25">
      <c r="B5" s="26" t="s">
        <v>2</v>
      </c>
      <c r="C5" s="26" t="s">
        <v>36</v>
      </c>
      <c r="D5" s="26" t="s">
        <v>37</v>
      </c>
      <c r="E5" s="26" t="s">
        <v>38</v>
      </c>
      <c r="F5" s="26" t="s">
        <v>39</v>
      </c>
      <c r="G5" s="26" t="s">
        <v>40</v>
      </c>
      <c r="H5" s="26" t="s">
        <v>41</v>
      </c>
      <c r="I5" s="26" t="s">
        <v>42</v>
      </c>
      <c r="J5" s="26" t="s">
        <v>43</v>
      </c>
      <c r="K5" s="26" t="s">
        <v>44</v>
      </c>
      <c r="L5" s="26" t="s">
        <v>45</v>
      </c>
      <c r="M5" s="26" t="s">
        <v>46</v>
      </c>
      <c r="N5" s="26" t="s">
        <v>47</v>
      </c>
      <c r="O5" s="26" t="s">
        <v>48</v>
      </c>
      <c r="P5" s="26" t="s">
        <v>49</v>
      </c>
      <c r="Q5" s="26" t="s">
        <v>50</v>
      </c>
      <c r="R5" s="26" t="s">
        <v>51</v>
      </c>
      <c r="S5" s="26" t="s">
        <v>52</v>
      </c>
      <c r="T5" s="26" t="s">
        <v>53</v>
      </c>
      <c r="U5" s="26" t="s">
        <v>54</v>
      </c>
      <c r="V5" s="26" t="s">
        <v>55</v>
      </c>
      <c r="W5" s="26" t="s">
        <v>56</v>
      </c>
      <c r="X5" s="26" t="s">
        <v>57</v>
      </c>
      <c r="Y5" s="26" t="s">
        <v>58</v>
      </c>
      <c r="Z5" s="26" t="s">
        <v>59</v>
      </c>
      <c r="AA5" s="26" t="s">
        <v>60</v>
      </c>
      <c r="AB5" s="26" t="s">
        <v>61</v>
      </c>
      <c r="AC5" s="26" t="s">
        <v>62</v>
      </c>
      <c r="AD5" s="26" t="s">
        <v>63</v>
      </c>
      <c r="AE5" s="26" t="s">
        <v>64</v>
      </c>
      <c r="AF5" s="26" t="s">
        <v>65</v>
      </c>
    </row>
    <row r="6" spans="2:32" x14ac:dyDescent="0.2">
      <c r="B6" s="56" t="s">
        <v>13</v>
      </c>
      <c r="C6" s="56">
        <v>9136</v>
      </c>
      <c r="D6" s="56">
        <v>955</v>
      </c>
      <c r="E6" s="56">
        <v>10091</v>
      </c>
      <c r="F6" s="56">
        <v>9256</v>
      </c>
      <c r="G6" s="56">
        <v>903</v>
      </c>
      <c r="H6" s="56">
        <v>10159</v>
      </c>
      <c r="I6" s="56">
        <v>9203</v>
      </c>
      <c r="J6" s="56">
        <v>747</v>
      </c>
      <c r="K6" s="56">
        <v>9950</v>
      </c>
      <c r="L6" s="56">
        <v>9416</v>
      </c>
      <c r="M6" s="56">
        <v>711</v>
      </c>
      <c r="N6" s="56">
        <v>10127</v>
      </c>
      <c r="O6" s="56">
        <v>9319</v>
      </c>
      <c r="P6" s="56">
        <v>679</v>
      </c>
      <c r="Q6" s="56">
        <v>9998</v>
      </c>
      <c r="R6" s="56">
        <v>9158</v>
      </c>
      <c r="S6" s="56">
        <v>619</v>
      </c>
      <c r="T6" s="56">
        <v>9777</v>
      </c>
      <c r="U6" s="56">
        <v>8995</v>
      </c>
      <c r="V6" s="56">
        <v>663</v>
      </c>
      <c r="W6" s="56">
        <v>9658</v>
      </c>
      <c r="X6" s="56">
        <v>8606</v>
      </c>
      <c r="Y6" s="56">
        <v>681</v>
      </c>
      <c r="Z6" s="56">
        <v>9287</v>
      </c>
      <c r="AA6" s="56">
        <v>8253</v>
      </c>
      <c r="AB6" s="56">
        <v>671</v>
      </c>
      <c r="AC6" s="56">
        <v>8924</v>
      </c>
      <c r="AD6" s="56">
        <v>7992</v>
      </c>
      <c r="AE6" s="56">
        <v>697</v>
      </c>
      <c r="AF6" s="56">
        <v>8689</v>
      </c>
    </row>
    <row r="7" spans="2:32" x14ac:dyDescent="0.2">
      <c r="B7" s="58" t="s">
        <v>14</v>
      </c>
      <c r="C7" s="58">
        <v>7419</v>
      </c>
      <c r="D7" s="58">
        <v>1981</v>
      </c>
      <c r="E7" s="58">
        <v>9400</v>
      </c>
      <c r="F7" s="58">
        <v>7417</v>
      </c>
      <c r="G7" s="58">
        <v>2066</v>
      </c>
      <c r="H7" s="58">
        <v>9483</v>
      </c>
      <c r="I7" s="58">
        <v>6681</v>
      </c>
      <c r="J7" s="58">
        <v>1927</v>
      </c>
      <c r="K7" s="58">
        <v>8608</v>
      </c>
      <c r="L7" s="58">
        <v>6450</v>
      </c>
      <c r="M7" s="58">
        <v>1793</v>
      </c>
      <c r="N7" s="58">
        <v>8243</v>
      </c>
      <c r="O7" s="58">
        <v>6076</v>
      </c>
      <c r="P7" s="58">
        <v>1902</v>
      </c>
      <c r="Q7" s="58">
        <v>7978</v>
      </c>
      <c r="R7" s="58">
        <v>5785</v>
      </c>
      <c r="S7" s="58">
        <v>2069</v>
      </c>
      <c r="T7" s="58">
        <v>7854</v>
      </c>
      <c r="U7" s="58">
        <v>5522</v>
      </c>
      <c r="V7" s="58">
        <v>2031</v>
      </c>
      <c r="W7" s="58">
        <v>7553</v>
      </c>
      <c r="X7" s="58">
        <v>5557</v>
      </c>
      <c r="Y7" s="58">
        <v>2231</v>
      </c>
      <c r="Z7" s="58">
        <v>7788</v>
      </c>
      <c r="AA7" s="58">
        <v>5174</v>
      </c>
      <c r="AB7" s="58">
        <v>2138</v>
      </c>
      <c r="AC7" s="58">
        <v>7312</v>
      </c>
      <c r="AD7" s="58">
        <v>4856</v>
      </c>
      <c r="AE7" s="58">
        <v>1986</v>
      </c>
      <c r="AF7" s="58">
        <v>6842</v>
      </c>
    </row>
    <row r="8" spans="2:32" x14ac:dyDescent="0.2">
      <c r="B8" s="58" t="s">
        <v>15</v>
      </c>
      <c r="C8" s="58">
        <v>1508</v>
      </c>
      <c r="D8" s="58">
        <v>78</v>
      </c>
      <c r="E8" s="58">
        <v>1586</v>
      </c>
      <c r="F8" s="58">
        <v>1141</v>
      </c>
      <c r="G8" s="58">
        <v>59</v>
      </c>
      <c r="H8" s="58">
        <v>1200</v>
      </c>
      <c r="I8" s="58">
        <v>1224</v>
      </c>
      <c r="J8" s="58">
        <v>60</v>
      </c>
      <c r="K8" s="58">
        <v>1284</v>
      </c>
      <c r="L8" s="58">
        <v>1179</v>
      </c>
      <c r="M8" s="58">
        <v>33</v>
      </c>
      <c r="N8" s="58">
        <v>1212</v>
      </c>
      <c r="O8" s="58">
        <v>997</v>
      </c>
      <c r="P8" s="58">
        <v>25</v>
      </c>
      <c r="Q8" s="58">
        <v>1022</v>
      </c>
      <c r="R8" s="58">
        <v>686</v>
      </c>
      <c r="S8" s="58">
        <v>25</v>
      </c>
      <c r="T8" s="58">
        <v>711</v>
      </c>
      <c r="U8" s="58">
        <v>709</v>
      </c>
      <c r="V8" s="58">
        <v>37</v>
      </c>
      <c r="W8" s="58">
        <v>746</v>
      </c>
      <c r="X8" s="58">
        <v>723</v>
      </c>
      <c r="Y8" s="58">
        <v>32</v>
      </c>
      <c r="Z8" s="58">
        <v>755</v>
      </c>
      <c r="AA8" s="58">
        <v>469</v>
      </c>
      <c r="AB8" s="58">
        <v>0</v>
      </c>
      <c r="AC8" s="58">
        <v>469</v>
      </c>
      <c r="AD8" s="58">
        <v>618</v>
      </c>
      <c r="AE8" s="58">
        <v>0</v>
      </c>
      <c r="AF8" s="58">
        <v>618</v>
      </c>
    </row>
    <row r="9" spans="2:32" x14ac:dyDescent="0.2">
      <c r="B9" s="58" t="s">
        <v>16</v>
      </c>
      <c r="C9" s="58">
        <v>6225</v>
      </c>
      <c r="D9" s="58">
        <v>1090</v>
      </c>
      <c r="E9" s="58">
        <v>7315</v>
      </c>
      <c r="F9" s="58">
        <v>5876</v>
      </c>
      <c r="G9" s="58">
        <v>1115</v>
      </c>
      <c r="H9" s="58">
        <v>6991</v>
      </c>
      <c r="I9" s="58">
        <v>5518</v>
      </c>
      <c r="J9" s="58">
        <v>1002</v>
      </c>
      <c r="K9" s="58">
        <v>6520</v>
      </c>
      <c r="L9" s="58">
        <v>5199</v>
      </c>
      <c r="M9" s="58">
        <v>881</v>
      </c>
      <c r="N9" s="58">
        <v>6080</v>
      </c>
      <c r="O9" s="58">
        <v>4906</v>
      </c>
      <c r="P9" s="58">
        <v>806</v>
      </c>
      <c r="Q9" s="58">
        <v>5712</v>
      </c>
      <c r="R9" s="58">
        <v>4555</v>
      </c>
      <c r="S9" s="58">
        <v>813</v>
      </c>
      <c r="T9" s="58">
        <v>5368</v>
      </c>
      <c r="U9" s="58">
        <v>4330</v>
      </c>
      <c r="V9" s="58">
        <v>894</v>
      </c>
      <c r="W9" s="58">
        <v>5224</v>
      </c>
      <c r="X9" s="58">
        <v>4321</v>
      </c>
      <c r="Y9" s="58">
        <v>904</v>
      </c>
      <c r="Z9" s="58">
        <v>5225</v>
      </c>
      <c r="AA9" s="58">
        <v>3942</v>
      </c>
      <c r="AB9" s="58">
        <v>927</v>
      </c>
      <c r="AC9" s="58">
        <v>4869</v>
      </c>
      <c r="AD9" s="58">
        <v>3776</v>
      </c>
      <c r="AE9" s="58">
        <v>927</v>
      </c>
      <c r="AF9" s="58">
        <v>4703</v>
      </c>
    </row>
    <row r="10" spans="2:32" x14ac:dyDescent="0.2">
      <c r="B10" s="58" t="s">
        <v>17</v>
      </c>
      <c r="C10" s="58">
        <v>6372</v>
      </c>
      <c r="D10" s="58">
        <v>1015</v>
      </c>
      <c r="E10" s="58">
        <v>7387</v>
      </c>
      <c r="F10" s="58">
        <v>6656</v>
      </c>
      <c r="G10" s="58">
        <v>697</v>
      </c>
      <c r="H10" s="58">
        <v>7353</v>
      </c>
      <c r="I10" s="58">
        <v>6355</v>
      </c>
      <c r="J10" s="58">
        <v>588</v>
      </c>
      <c r="K10" s="58">
        <v>6943</v>
      </c>
      <c r="L10" s="58">
        <v>6186</v>
      </c>
      <c r="M10" s="58">
        <v>592</v>
      </c>
      <c r="N10" s="58">
        <v>6778</v>
      </c>
      <c r="O10" s="58">
        <v>6204</v>
      </c>
      <c r="P10" s="58">
        <v>616</v>
      </c>
      <c r="Q10" s="58">
        <v>6820</v>
      </c>
      <c r="R10" s="58">
        <v>6167</v>
      </c>
      <c r="S10" s="58">
        <v>661</v>
      </c>
      <c r="T10" s="58">
        <v>6828</v>
      </c>
      <c r="U10" s="58">
        <v>6159</v>
      </c>
      <c r="V10" s="58">
        <v>671</v>
      </c>
      <c r="W10" s="58">
        <v>6830</v>
      </c>
      <c r="X10" s="58">
        <v>6051</v>
      </c>
      <c r="Y10" s="58">
        <v>691</v>
      </c>
      <c r="Z10" s="58">
        <v>6742</v>
      </c>
      <c r="AA10" s="58">
        <v>5713</v>
      </c>
      <c r="AB10" s="58">
        <v>712</v>
      </c>
      <c r="AC10" s="58">
        <v>6425</v>
      </c>
      <c r="AD10" s="58">
        <v>5417</v>
      </c>
      <c r="AE10" s="58">
        <v>797</v>
      </c>
      <c r="AF10" s="58">
        <v>6214</v>
      </c>
    </row>
    <row r="11" spans="2:32" x14ac:dyDescent="0.2">
      <c r="B11" s="58" t="s">
        <v>18</v>
      </c>
      <c r="C11" s="58">
        <v>6697</v>
      </c>
      <c r="D11" s="58">
        <v>1945</v>
      </c>
      <c r="E11" s="58">
        <v>8642</v>
      </c>
      <c r="F11" s="58">
        <v>6649</v>
      </c>
      <c r="G11" s="58">
        <v>1613</v>
      </c>
      <c r="H11" s="58">
        <v>8262</v>
      </c>
      <c r="I11" s="58">
        <v>6090</v>
      </c>
      <c r="J11" s="58">
        <v>1372</v>
      </c>
      <c r="K11" s="58">
        <v>7462</v>
      </c>
      <c r="L11" s="58">
        <v>5864</v>
      </c>
      <c r="M11" s="58">
        <v>1234</v>
      </c>
      <c r="N11" s="58">
        <v>7098</v>
      </c>
      <c r="O11" s="58">
        <v>5595</v>
      </c>
      <c r="P11" s="58">
        <v>1242</v>
      </c>
      <c r="Q11" s="58">
        <v>6837</v>
      </c>
      <c r="R11" s="58">
        <v>5247</v>
      </c>
      <c r="S11" s="58">
        <v>1303</v>
      </c>
      <c r="T11" s="58">
        <v>6550</v>
      </c>
      <c r="U11" s="58">
        <v>4840</v>
      </c>
      <c r="V11" s="58">
        <v>1341</v>
      </c>
      <c r="W11" s="58">
        <v>6181</v>
      </c>
      <c r="X11" s="58">
        <v>4291</v>
      </c>
      <c r="Y11" s="58">
        <v>1284</v>
      </c>
      <c r="Z11" s="58">
        <v>5575</v>
      </c>
      <c r="AA11" s="58">
        <v>3572</v>
      </c>
      <c r="AB11" s="58">
        <v>1262</v>
      </c>
      <c r="AC11" s="58">
        <v>4834</v>
      </c>
      <c r="AD11" s="58">
        <v>3399</v>
      </c>
      <c r="AE11" s="58">
        <v>1247</v>
      </c>
      <c r="AF11" s="58">
        <v>4646</v>
      </c>
    </row>
    <row r="12" spans="2:32" x14ac:dyDescent="0.2">
      <c r="B12" s="58" t="s">
        <v>19</v>
      </c>
      <c r="C12" s="58">
        <v>12827</v>
      </c>
      <c r="D12" s="58">
        <v>2299</v>
      </c>
      <c r="E12" s="58">
        <v>15126</v>
      </c>
      <c r="F12" s="58">
        <v>12943</v>
      </c>
      <c r="G12" s="58">
        <v>2189</v>
      </c>
      <c r="H12" s="58">
        <v>15132</v>
      </c>
      <c r="I12" s="58">
        <v>13275</v>
      </c>
      <c r="J12" s="58">
        <v>2321</v>
      </c>
      <c r="K12" s="58">
        <v>15596</v>
      </c>
      <c r="L12" s="58">
        <v>12668</v>
      </c>
      <c r="M12" s="58">
        <v>2257</v>
      </c>
      <c r="N12" s="58">
        <v>14925</v>
      </c>
      <c r="O12" s="58">
        <v>12332</v>
      </c>
      <c r="P12" s="58">
        <v>2239</v>
      </c>
      <c r="Q12" s="58">
        <v>14571</v>
      </c>
      <c r="R12" s="58">
        <v>11797</v>
      </c>
      <c r="S12" s="58">
        <v>2238</v>
      </c>
      <c r="T12" s="58">
        <v>14035</v>
      </c>
      <c r="U12" s="58">
        <v>10879</v>
      </c>
      <c r="V12" s="58">
        <v>2235</v>
      </c>
      <c r="W12" s="58">
        <v>13114</v>
      </c>
      <c r="X12" s="58">
        <v>10389</v>
      </c>
      <c r="Y12" s="58">
        <v>2173</v>
      </c>
      <c r="Z12" s="58">
        <v>12562</v>
      </c>
      <c r="AA12" s="58">
        <v>9471</v>
      </c>
      <c r="AB12" s="58">
        <v>2110</v>
      </c>
      <c r="AC12" s="58">
        <v>11581</v>
      </c>
      <c r="AD12" s="58">
        <v>8567</v>
      </c>
      <c r="AE12" s="58">
        <v>2069</v>
      </c>
      <c r="AF12" s="58">
        <v>10636</v>
      </c>
    </row>
    <row r="13" spans="2:32" x14ac:dyDescent="0.2">
      <c r="B13" s="58" t="s">
        <v>20</v>
      </c>
      <c r="C13" s="58">
        <v>9725</v>
      </c>
      <c r="D13" s="58">
        <v>982</v>
      </c>
      <c r="E13" s="58">
        <v>10707</v>
      </c>
      <c r="F13" s="58">
        <v>9486</v>
      </c>
      <c r="G13" s="58">
        <v>797</v>
      </c>
      <c r="H13" s="58">
        <v>10283</v>
      </c>
      <c r="I13" s="58">
        <v>9135</v>
      </c>
      <c r="J13" s="58">
        <v>669</v>
      </c>
      <c r="K13" s="58">
        <v>9804</v>
      </c>
      <c r="L13" s="58">
        <v>8815</v>
      </c>
      <c r="M13" s="58">
        <v>698</v>
      </c>
      <c r="N13" s="58">
        <v>9513</v>
      </c>
      <c r="O13" s="58">
        <v>8562</v>
      </c>
      <c r="P13" s="58">
        <v>656</v>
      </c>
      <c r="Q13" s="58">
        <v>9218</v>
      </c>
      <c r="R13" s="58">
        <v>8293</v>
      </c>
      <c r="S13" s="58">
        <v>707</v>
      </c>
      <c r="T13" s="58">
        <v>9000</v>
      </c>
      <c r="U13" s="58">
        <v>7718</v>
      </c>
      <c r="V13" s="58">
        <v>795</v>
      </c>
      <c r="W13" s="58">
        <v>8513</v>
      </c>
      <c r="X13" s="58">
        <v>7489</v>
      </c>
      <c r="Y13" s="58">
        <v>840</v>
      </c>
      <c r="Z13" s="58">
        <v>8329</v>
      </c>
      <c r="AA13" s="58">
        <v>7391</v>
      </c>
      <c r="AB13" s="58">
        <v>918</v>
      </c>
      <c r="AC13" s="58">
        <v>8309</v>
      </c>
      <c r="AD13" s="58">
        <v>7204</v>
      </c>
      <c r="AE13" s="58">
        <v>995</v>
      </c>
      <c r="AF13" s="58">
        <v>8199</v>
      </c>
    </row>
    <row r="14" spans="2:32" x14ac:dyDescent="0.2">
      <c r="B14" s="58" t="s">
        <v>21</v>
      </c>
      <c r="C14" s="58">
        <v>5115</v>
      </c>
      <c r="D14" s="58">
        <v>336</v>
      </c>
      <c r="E14" s="58">
        <v>5451</v>
      </c>
      <c r="F14" s="58">
        <v>5029</v>
      </c>
      <c r="G14" s="58">
        <v>337</v>
      </c>
      <c r="H14" s="58">
        <v>5366</v>
      </c>
      <c r="I14" s="58">
        <v>4969</v>
      </c>
      <c r="J14" s="58">
        <v>359</v>
      </c>
      <c r="K14" s="58">
        <v>5328</v>
      </c>
      <c r="L14" s="58">
        <v>4855</v>
      </c>
      <c r="M14" s="58">
        <v>405</v>
      </c>
      <c r="N14" s="58">
        <v>5260</v>
      </c>
      <c r="O14" s="58">
        <v>4521</v>
      </c>
      <c r="P14" s="58">
        <v>396</v>
      </c>
      <c r="Q14" s="58">
        <v>4917</v>
      </c>
      <c r="R14" s="58">
        <v>4220</v>
      </c>
      <c r="S14" s="58">
        <v>387</v>
      </c>
      <c r="T14" s="58">
        <v>4607</v>
      </c>
      <c r="U14" s="58">
        <v>3845</v>
      </c>
      <c r="V14" s="58">
        <v>375</v>
      </c>
      <c r="W14" s="58">
        <v>4220</v>
      </c>
      <c r="X14" s="58">
        <v>3472</v>
      </c>
      <c r="Y14" s="58">
        <v>355</v>
      </c>
      <c r="Z14" s="58">
        <v>3827</v>
      </c>
      <c r="AA14" s="58">
        <v>3067</v>
      </c>
      <c r="AB14" s="58">
        <v>358</v>
      </c>
      <c r="AC14" s="58">
        <v>3425</v>
      </c>
      <c r="AD14" s="58">
        <v>2752</v>
      </c>
      <c r="AE14" s="58">
        <v>410</v>
      </c>
      <c r="AF14" s="58">
        <v>3162</v>
      </c>
    </row>
    <row r="15" spans="2:32" x14ac:dyDescent="0.2">
      <c r="B15" s="58" t="s">
        <v>22</v>
      </c>
      <c r="C15" s="58">
        <v>2945</v>
      </c>
      <c r="D15" s="58">
        <v>466</v>
      </c>
      <c r="E15" s="58">
        <v>3411</v>
      </c>
      <c r="F15" s="58">
        <v>2876</v>
      </c>
      <c r="G15" s="58">
        <v>399</v>
      </c>
      <c r="H15" s="58">
        <v>3275</v>
      </c>
      <c r="I15" s="58">
        <v>2824</v>
      </c>
      <c r="J15" s="58">
        <v>307</v>
      </c>
      <c r="K15" s="58">
        <v>3131</v>
      </c>
      <c r="L15" s="58">
        <v>2717</v>
      </c>
      <c r="M15" s="58">
        <v>253</v>
      </c>
      <c r="N15" s="58">
        <v>2970</v>
      </c>
      <c r="O15" s="58">
        <v>2587</v>
      </c>
      <c r="P15" s="58">
        <v>165</v>
      </c>
      <c r="Q15" s="58">
        <v>2752</v>
      </c>
      <c r="R15" s="58">
        <v>2268</v>
      </c>
      <c r="S15" s="58">
        <v>121</v>
      </c>
      <c r="T15" s="58">
        <v>2389</v>
      </c>
      <c r="U15" s="58">
        <v>2121</v>
      </c>
      <c r="V15" s="58">
        <v>86</v>
      </c>
      <c r="W15" s="58">
        <v>2207</v>
      </c>
      <c r="X15" s="58">
        <v>1861</v>
      </c>
      <c r="Y15" s="58">
        <v>61</v>
      </c>
      <c r="Z15" s="58">
        <v>1922</v>
      </c>
      <c r="AA15" s="58">
        <v>1612</v>
      </c>
      <c r="AB15" s="58">
        <v>38</v>
      </c>
      <c r="AC15" s="58">
        <v>1650</v>
      </c>
      <c r="AD15" s="58">
        <v>1660</v>
      </c>
      <c r="AE15" s="58">
        <v>23</v>
      </c>
      <c r="AF15" s="58">
        <v>1683</v>
      </c>
    </row>
    <row r="16" spans="2:32" x14ac:dyDescent="0.2">
      <c r="B16" s="58" t="s">
        <v>23</v>
      </c>
      <c r="C16" s="58">
        <v>7604</v>
      </c>
      <c r="D16" s="58">
        <v>1125</v>
      </c>
      <c r="E16" s="58">
        <v>8729</v>
      </c>
      <c r="F16" s="58">
        <v>7644</v>
      </c>
      <c r="G16" s="58">
        <v>1081</v>
      </c>
      <c r="H16" s="58">
        <v>8725</v>
      </c>
      <c r="I16" s="58">
        <v>7424</v>
      </c>
      <c r="J16" s="58">
        <v>944</v>
      </c>
      <c r="K16" s="58">
        <v>8368</v>
      </c>
      <c r="L16" s="58">
        <v>7388</v>
      </c>
      <c r="M16" s="58">
        <v>891</v>
      </c>
      <c r="N16" s="58">
        <v>8279</v>
      </c>
      <c r="O16" s="58">
        <v>7171</v>
      </c>
      <c r="P16" s="58">
        <v>876</v>
      </c>
      <c r="Q16" s="58">
        <v>8047</v>
      </c>
      <c r="R16" s="58">
        <v>7084</v>
      </c>
      <c r="S16" s="58">
        <v>904</v>
      </c>
      <c r="T16" s="58">
        <v>7988</v>
      </c>
      <c r="U16" s="58">
        <v>6980</v>
      </c>
      <c r="V16" s="58">
        <v>947</v>
      </c>
      <c r="W16" s="58">
        <v>7927</v>
      </c>
      <c r="X16" s="58">
        <v>6778</v>
      </c>
      <c r="Y16" s="58">
        <v>970</v>
      </c>
      <c r="Z16" s="58">
        <v>7748</v>
      </c>
      <c r="AA16" s="58">
        <v>6779</v>
      </c>
      <c r="AB16" s="58">
        <v>1002</v>
      </c>
      <c r="AC16" s="58">
        <v>7781</v>
      </c>
      <c r="AD16" s="58">
        <v>6794</v>
      </c>
      <c r="AE16" s="58">
        <v>1023</v>
      </c>
      <c r="AF16" s="58">
        <v>7817</v>
      </c>
    </row>
    <row r="17" spans="2:32" x14ac:dyDescent="0.2">
      <c r="B17" s="58" t="s">
        <v>24</v>
      </c>
      <c r="C17" s="58">
        <v>7143</v>
      </c>
      <c r="D17" s="58">
        <v>1183</v>
      </c>
      <c r="E17" s="58">
        <v>8326</v>
      </c>
      <c r="F17" s="58">
        <v>7132</v>
      </c>
      <c r="G17" s="58">
        <v>1051</v>
      </c>
      <c r="H17" s="58">
        <v>8183</v>
      </c>
      <c r="I17" s="58">
        <v>6712</v>
      </c>
      <c r="J17" s="58">
        <v>1012</v>
      </c>
      <c r="K17" s="58">
        <v>7724</v>
      </c>
      <c r="L17" s="58">
        <v>6550</v>
      </c>
      <c r="M17" s="58">
        <v>998</v>
      </c>
      <c r="N17" s="58">
        <v>7548</v>
      </c>
      <c r="O17" s="58">
        <v>6305</v>
      </c>
      <c r="P17" s="58">
        <v>1050</v>
      </c>
      <c r="Q17" s="58">
        <v>7355</v>
      </c>
      <c r="R17" s="58">
        <v>6027</v>
      </c>
      <c r="S17" s="58">
        <v>1031</v>
      </c>
      <c r="T17" s="58">
        <v>7058</v>
      </c>
      <c r="U17" s="58">
        <v>5912</v>
      </c>
      <c r="V17" s="58">
        <v>1077</v>
      </c>
      <c r="W17" s="58">
        <v>6989</v>
      </c>
      <c r="X17" s="58">
        <v>5585</v>
      </c>
      <c r="Y17" s="58">
        <v>996</v>
      </c>
      <c r="Z17" s="58">
        <v>6581</v>
      </c>
      <c r="AA17" s="58">
        <v>5501</v>
      </c>
      <c r="AB17" s="58">
        <v>907</v>
      </c>
      <c r="AC17" s="58">
        <v>6408</v>
      </c>
      <c r="AD17" s="58">
        <v>5286</v>
      </c>
      <c r="AE17" s="58">
        <v>810</v>
      </c>
      <c r="AF17" s="58">
        <v>6096</v>
      </c>
    </row>
    <row r="18" spans="2:32" x14ac:dyDescent="0.2">
      <c r="B18" s="58" t="s">
        <v>25</v>
      </c>
      <c r="C18" s="58">
        <v>8026</v>
      </c>
      <c r="D18" s="58">
        <v>826</v>
      </c>
      <c r="E18" s="58">
        <v>8852</v>
      </c>
      <c r="F18" s="58">
        <v>7961</v>
      </c>
      <c r="G18" s="58">
        <v>751</v>
      </c>
      <c r="H18" s="58">
        <v>8712</v>
      </c>
      <c r="I18" s="58">
        <v>7860</v>
      </c>
      <c r="J18" s="58">
        <v>699</v>
      </c>
      <c r="K18" s="58">
        <v>8559</v>
      </c>
      <c r="L18" s="58">
        <v>7595</v>
      </c>
      <c r="M18" s="58">
        <v>752</v>
      </c>
      <c r="N18" s="58">
        <v>8347</v>
      </c>
      <c r="O18" s="58">
        <v>7587</v>
      </c>
      <c r="P18" s="58">
        <v>908</v>
      </c>
      <c r="Q18" s="58">
        <v>8495</v>
      </c>
      <c r="R18" s="58">
        <v>7583</v>
      </c>
      <c r="S18" s="58">
        <v>1045</v>
      </c>
      <c r="T18" s="58">
        <v>8628</v>
      </c>
      <c r="U18" s="58">
        <v>7664</v>
      </c>
      <c r="V18" s="58">
        <v>1217</v>
      </c>
      <c r="W18" s="58">
        <v>8881</v>
      </c>
      <c r="X18" s="58">
        <v>7638</v>
      </c>
      <c r="Y18" s="58">
        <v>1257</v>
      </c>
      <c r="Z18" s="58">
        <v>8895</v>
      </c>
      <c r="AA18" s="58">
        <v>7538</v>
      </c>
      <c r="AB18" s="58">
        <v>1286</v>
      </c>
      <c r="AC18" s="58">
        <v>8824</v>
      </c>
      <c r="AD18" s="58">
        <v>7468</v>
      </c>
      <c r="AE18" s="58">
        <v>1338</v>
      </c>
      <c r="AF18" s="58">
        <v>8806</v>
      </c>
    </row>
    <row r="19" spans="2:32" x14ac:dyDescent="0.2">
      <c r="B19" s="61" t="s">
        <v>26</v>
      </c>
      <c r="C19" s="61">
        <v>12232</v>
      </c>
      <c r="D19" s="61">
        <v>2258</v>
      </c>
      <c r="E19" s="61">
        <v>14490</v>
      </c>
      <c r="F19" s="61">
        <v>12834</v>
      </c>
      <c r="G19" s="61">
        <v>2266</v>
      </c>
      <c r="H19" s="61">
        <v>15100</v>
      </c>
      <c r="I19" s="61">
        <v>13297</v>
      </c>
      <c r="J19" s="61">
        <v>2114</v>
      </c>
      <c r="K19" s="61">
        <v>15411</v>
      </c>
      <c r="L19" s="61">
        <v>13711</v>
      </c>
      <c r="M19" s="61">
        <v>2134</v>
      </c>
      <c r="N19" s="61">
        <v>15845</v>
      </c>
      <c r="O19" s="61">
        <v>13844</v>
      </c>
      <c r="P19" s="61">
        <v>2242</v>
      </c>
      <c r="Q19" s="61">
        <v>16086</v>
      </c>
      <c r="R19" s="61">
        <v>14221</v>
      </c>
      <c r="S19" s="61">
        <v>2385</v>
      </c>
      <c r="T19" s="61">
        <v>16606</v>
      </c>
      <c r="U19" s="61">
        <v>14398</v>
      </c>
      <c r="V19" s="61">
        <v>2608</v>
      </c>
      <c r="W19" s="61">
        <v>17006</v>
      </c>
      <c r="X19" s="61">
        <v>14481</v>
      </c>
      <c r="Y19" s="61">
        <v>2855</v>
      </c>
      <c r="Z19" s="61">
        <v>17336</v>
      </c>
      <c r="AA19" s="61">
        <v>14592</v>
      </c>
      <c r="AB19" s="61">
        <v>2960</v>
      </c>
      <c r="AC19" s="61">
        <v>17552</v>
      </c>
      <c r="AD19" s="61">
        <v>14637</v>
      </c>
      <c r="AE19" s="61">
        <v>3054</v>
      </c>
      <c r="AF19" s="61">
        <v>17691</v>
      </c>
    </row>
    <row r="20" spans="2:32" x14ac:dyDescent="0.2">
      <c r="B20" s="20" t="s">
        <v>27</v>
      </c>
      <c r="C20" s="20">
        <f>SUBTOTAL(109,'Enrollment by level Trend'!$C$6:$C$19)</f>
        <v>102974</v>
      </c>
      <c r="D20" s="20">
        <f>SUBTOTAL(109,'Enrollment by level Trend'!$D$6:$D$19)</f>
        <v>16539</v>
      </c>
      <c r="E20" s="20">
        <f>SUBTOTAL(109,'Enrollment by level Trend'!$E$6:$E$19)</f>
        <v>119513</v>
      </c>
      <c r="F20" s="20">
        <f>SUBTOTAL(109,'Enrollment by level Trend'!$F$6:$F$19)</f>
        <v>102900</v>
      </c>
      <c r="G20" s="20">
        <f>SUBTOTAL(109,'Enrollment by level Trend'!$G$6:$G$19)</f>
        <v>15324</v>
      </c>
      <c r="H20" s="20">
        <f>SUBTOTAL(109,'Enrollment by level Trend'!$H$6:$H$19)</f>
        <v>118224</v>
      </c>
      <c r="I20" s="20">
        <f>SUBTOTAL(109,'Enrollment by level Trend'!$I$6:$I$19)</f>
        <v>100567</v>
      </c>
      <c r="J20" s="20">
        <f>SUBTOTAL(109,'Enrollment by level Trend'!$J$6:$J$19)</f>
        <v>14121</v>
      </c>
      <c r="K20" s="20">
        <f>SUBTOTAL(109,'Enrollment by level Trend'!$K$6:$K$19)</f>
        <v>114688</v>
      </c>
      <c r="L20" s="20">
        <f>SUBTOTAL(109,'Enrollment by level Trend'!$L$6:$L$19)</f>
        <v>98593</v>
      </c>
      <c r="M20" s="20">
        <f>SUBTOTAL(109,'Enrollment by level Trend'!$M$6:$M$19)</f>
        <v>13632</v>
      </c>
      <c r="N20" s="20">
        <f>SUBTOTAL(109,'Enrollment by level Trend'!$N$6:$N$19)</f>
        <v>112225</v>
      </c>
      <c r="O20" s="20">
        <f>SUBTOTAL(109,'Enrollment by level Trend'!$O$6:$O$19)</f>
        <v>96006</v>
      </c>
      <c r="P20" s="20">
        <f>SUBTOTAL(109,'Enrollment by level Trend'!$P$6:$P$19)</f>
        <v>13802</v>
      </c>
      <c r="Q20" s="20">
        <f>SUBTOTAL(109,'Enrollment by level Trend'!$Q$6:$Q$19)</f>
        <v>109808</v>
      </c>
      <c r="R20" s="20">
        <f>SUBTOTAL(109,'Enrollment by level Trend'!$R$6:$R$19)</f>
        <v>93091</v>
      </c>
      <c r="S20" s="20">
        <f>SUBTOTAL(109,'Enrollment by level Trend'!$S$6:$S$19)</f>
        <v>14308</v>
      </c>
      <c r="T20" s="20">
        <f>SUBTOTAL(109,'Enrollment by level Trend'!$T$6:$T$19)</f>
        <v>107399</v>
      </c>
      <c r="U20" s="20">
        <f>SUBTOTAL(109,'Enrollment by level Trend'!$U$6:$U$19)</f>
        <v>90072</v>
      </c>
      <c r="V20" s="20">
        <f>SUBTOTAL(109,'Enrollment by level Trend'!$V$6:$V$19)</f>
        <v>14977</v>
      </c>
      <c r="W20" s="20">
        <f>SUBTOTAL(109,'Enrollment by level Trend'!$W$6:$W$19)</f>
        <v>105049</v>
      </c>
      <c r="X20" s="20">
        <f>SUBTOTAL(109,'Enrollment by level Trend'!$X$6:$X$19)</f>
        <v>87242</v>
      </c>
      <c r="Y20" s="20">
        <f>SUBTOTAL(109,'Enrollment by level Trend'!$Y$6:$Y$19)</f>
        <v>15330</v>
      </c>
      <c r="Z20" s="20">
        <f>SUBTOTAL(109,'Enrollment by level Trend'!$Z$6:$Z$19)</f>
        <v>102572</v>
      </c>
      <c r="AA20" s="20">
        <f>SUBTOTAL(109,'Enrollment by level Trend'!$AA$6:$AA$19)</f>
        <v>83074</v>
      </c>
      <c r="AB20" s="20">
        <f>SUBTOTAL(109,'Enrollment by level Trend'!$AB$6:$AB$19)</f>
        <v>15289</v>
      </c>
      <c r="AC20" s="20">
        <f>SUBTOTAL(109,'Enrollment by level Trend'!$AC$6:$AC$19)</f>
        <v>98363</v>
      </c>
      <c r="AD20" s="20">
        <f>SUBTOTAL(109,'Enrollment by level Trend'!$AD$6:$AD$19)</f>
        <v>80426</v>
      </c>
      <c r="AE20" s="20">
        <f>SUBTOTAL(109,'Enrollment by level Trend'!$AE$6:$AE$19)</f>
        <v>15376</v>
      </c>
      <c r="AF20" s="20">
        <f>SUBTOTAL(109,'Enrollment by level Trend'!$AF$6:$AF$19)</f>
        <v>95802</v>
      </c>
    </row>
    <row r="21" spans="2:32" x14ac:dyDescent="0.2">
      <c r="B21" s="60"/>
      <c r="C21" s="60"/>
      <c r="D21" s="60"/>
      <c r="E21" s="60"/>
      <c r="F21" s="60"/>
      <c r="G21" s="60"/>
      <c r="H21" s="60"/>
      <c r="I21" s="64"/>
      <c r="J21" s="64"/>
      <c r="K21" s="64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</row>
    <row r="22" spans="2:32" x14ac:dyDescent="0.2">
      <c r="B22" s="60"/>
      <c r="C22" s="60"/>
      <c r="D22" s="60"/>
      <c r="E22" s="60"/>
      <c r="F22" s="60"/>
      <c r="G22" s="60"/>
      <c r="H22" s="60"/>
      <c r="I22" s="64"/>
      <c r="J22" s="64"/>
      <c r="K22" s="64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</row>
    <row r="23" spans="2:32" ht="15" x14ac:dyDescent="0.2">
      <c r="B23" s="132" t="str">
        <f>CONCATENATE("Undergraduate Enrollment ",  IF(RIGHT(Parameters!B1,1) = "1","Fall ", "Spring "),IF(RIGHT(Parameters!B1,1)  = "1",LEFT(Parameters!B1,4) -9, LEFT(Parameters!B1,4)-8 ),"-",IF(RIGHT(Parameters!B1,1)  = "1",LEFT(Parameters!B1,4), LEFT(Parameters!B1,4)+1 ))</f>
        <v>Undergraduate Enrollment Fall 2010-2019</v>
      </c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</row>
    <row r="24" spans="2:32" ht="30.95" customHeight="1" x14ac:dyDescent="0.2">
      <c r="B24" s="52" t="s">
        <v>1</v>
      </c>
      <c r="C24" s="52" t="str">
        <f>CONCATENATE(IF(RIGHT(Parameters!B1,1) = "1","Fall ", "Spring "),IF(RIGHT(Parameters!B1,1) = "1",LEFT(Parameters!B1,4) -9, LEFT(Parameters!B1,4) - 8))</f>
        <v>Fall 2010</v>
      </c>
      <c r="D24" s="52" t="str">
        <f>CONCATENATE(IF(RIGHT(Parameters!B1,1) = "1","Fall ", "Spring "),IF(RIGHT(Parameters!B1,1) = "1",LEFT(Parameters!B1,4) -8, LEFT(Parameters!B1,4) - 7))</f>
        <v>Fall 2011</v>
      </c>
      <c r="E24" s="52" t="str">
        <f>CONCATENATE(IF(RIGHT(Parameters!B1,1) = "1","Fall ", "Spring "),IF(RIGHT(Parameters!B1,1) = "1",LEFT(Parameters!B1,4) -7, LEFT(Parameters!B1,4) - 6))</f>
        <v>Fall 2012</v>
      </c>
      <c r="F24" s="52" t="str">
        <f>CONCATENATE(IF(RIGHT(Parameters!B1,1) = "1","Fall ", "Spring "),IF(RIGHT(Parameters!B1,1) = "1",LEFT(Parameters!B1,4) -6, LEFT(Parameters!B1,4) - 5))</f>
        <v>Fall 2013</v>
      </c>
      <c r="G24" s="52" t="str">
        <f>CONCATENATE(IF(RIGHT(Parameters!B1,1) = "1","Fall ", "Spring "),IF(RIGHT(Parameters!B1,1) = "1",LEFT(Parameters!B1,4) -5, LEFT(Parameters!B1,4) - 4))</f>
        <v>Fall 2014</v>
      </c>
      <c r="H24" s="52" t="str">
        <f>CONCATENATE(IF(RIGHT(Parameters!B1,1) = "1","Fall ", "Spring "),IF(RIGHT(Parameters!B1,1) = "1",LEFT(Parameters!B1,4) -4, LEFT(Parameters!B1,4) - 3))</f>
        <v>Fall 2015</v>
      </c>
      <c r="I24" s="52" t="str">
        <f>CONCATENATE(IF(RIGHT(Parameters!B1,1) = "1","Fall ", "Spring "),IF(RIGHT(Parameters!B1,1) = "1",LEFT(Parameters!B1,4) -3, LEFT(Parameters!B1,4) - 2))</f>
        <v>Fall 2016</v>
      </c>
      <c r="J24" s="52" t="str">
        <f>CONCATENATE(IF(RIGHT(Parameters!B1,1) = "1","Fall ", "Spring "),IF(RIGHT(Parameters!B1,1) = "1",LEFT(Parameters!B1,4) -2, LEFT(Parameters!B1,4) - 1))</f>
        <v>Fall 2017</v>
      </c>
      <c r="K24" s="52" t="str">
        <f>CONCATENATE(IF(RIGHT(Parameters!B1,1) = "1","Fall ", "Spring "),IF(RIGHT(Parameters!B1,1) = "1",LEFT(Parameters!B1,4) -1, LEFT(Parameters!B1,4) ))</f>
        <v>Fall 2018</v>
      </c>
      <c r="L24" s="52" t="str">
        <f>CONCATENATE(IF(RIGHT(Parameters!B1,1) = "1","Fall ", "Spring "),IF(RIGHT(Parameters!B1,1) = "1",LEFT(Parameters!B1,4), LEFT(Parameters!B1,4) + 1))</f>
        <v>Fall 2019</v>
      </c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</row>
    <row r="25" spans="2:32" ht="16.5" hidden="1" customHeight="1" x14ac:dyDescent="0.2">
      <c r="B25" s="26" t="s">
        <v>2</v>
      </c>
      <c r="C25" s="26" t="s">
        <v>3</v>
      </c>
      <c r="D25" s="26" t="s">
        <v>4</v>
      </c>
      <c r="E25" s="26" t="s">
        <v>5</v>
      </c>
      <c r="F25" s="26" t="s">
        <v>6</v>
      </c>
      <c r="G25" s="26" t="s">
        <v>7</v>
      </c>
      <c r="H25" s="26" t="s">
        <v>8</v>
      </c>
      <c r="I25" s="26" t="s">
        <v>9</v>
      </c>
      <c r="J25" s="26" t="s">
        <v>10</v>
      </c>
      <c r="K25" s="26" t="s">
        <v>11</v>
      </c>
      <c r="L25" s="26" t="s">
        <v>12</v>
      </c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</row>
    <row r="26" spans="2:32" x14ac:dyDescent="0.2">
      <c r="B26" s="56" t="s">
        <v>13</v>
      </c>
      <c r="C26" s="57">
        <v>9136</v>
      </c>
      <c r="D26" s="57">
        <v>9256</v>
      </c>
      <c r="E26" s="57">
        <v>9203</v>
      </c>
      <c r="F26" s="57">
        <v>9416</v>
      </c>
      <c r="G26" s="57">
        <v>9319</v>
      </c>
      <c r="H26" s="57">
        <v>9158</v>
      </c>
      <c r="I26" s="57">
        <v>8995</v>
      </c>
      <c r="J26" s="57">
        <v>8606</v>
      </c>
      <c r="K26" s="57">
        <v>8253</v>
      </c>
      <c r="L26" s="57">
        <v>7992</v>
      </c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</row>
    <row r="27" spans="2:32" x14ac:dyDescent="0.2">
      <c r="B27" s="58" t="s">
        <v>14</v>
      </c>
      <c r="C27" s="59">
        <v>7419</v>
      </c>
      <c r="D27" s="59">
        <v>7417</v>
      </c>
      <c r="E27" s="59">
        <v>6681</v>
      </c>
      <c r="F27" s="59">
        <v>6450</v>
      </c>
      <c r="G27" s="59">
        <v>6076</v>
      </c>
      <c r="H27" s="59">
        <v>5785</v>
      </c>
      <c r="I27" s="59">
        <v>5522</v>
      </c>
      <c r="J27" s="59">
        <v>5557</v>
      </c>
      <c r="K27" s="59">
        <v>5174</v>
      </c>
      <c r="L27" s="59">
        <v>4856</v>
      </c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</row>
    <row r="28" spans="2:32" x14ac:dyDescent="0.2">
      <c r="B28" s="58" t="s">
        <v>15</v>
      </c>
      <c r="C28" s="59">
        <v>1508</v>
      </c>
      <c r="D28" s="59">
        <v>1141</v>
      </c>
      <c r="E28" s="59">
        <v>1224</v>
      </c>
      <c r="F28" s="59">
        <v>1179</v>
      </c>
      <c r="G28" s="59">
        <v>997</v>
      </c>
      <c r="H28" s="59">
        <v>686</v>
      </c>
      <c r="I28" s="59">
        <v>709</v>
      </c>
      <c r="J28" s="59">
        <v>723</v>
      </c>
      <c r="K28" s="59">
        <v>469</v>
      </c>
      <c r="L28" s="59">
        <v>618</v>
      </c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</row>
    <row r="29" spans="2:32" x14ac:dyDescent="0.2">
      <c r="B29" s="58" t="s">
        <v>16</v>
      </c>
      <c r="C29" s="59">
        <v>6225</v>
      </c>
      <c r="D29" s="59">
        <v>5876</v>
      </c>
      <c r="E29" s="59">
        <v>5518</v>
      </c>
      <c r="F29" s="59">
        <v>5199</v>
      </c>
      <c r="G29" s="59">
        <v>4906</v>
      </c>
      <c r="H29" s="59">
        <v>4555</v>
      </c>
      <c r="I29" s="59">
        <v>4330</v>
      </c>
      <c r="J29" s="59">
        <v>4321</v>
      </c>
      <c r="K29" s="59">
        <v>3942</v>
      </c>
      <c r="L29" s="59">
        <v>3776</v>
      </c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</row>
    <row r="30" spans="2:32" x14ac:dyDescent="0.2">
      <c r="B30" s="58" t="s">
        <v>17</v>
      </c>
      <c r="C30" s="59">
        <v>6372</v>
      </c>
      <c r="D30" s="59">
        <v>6656</v>
      </c>
      <c r="E30" s="59">
        <v>6355</v>
      </c>
      <c r="F30" s="59">
        <v>6186</v>
      </c>
      <c r="G30" s="59">
        <v>6204</v>
      </c>
      <c r="H30" s="59">
        <v>6167</v>
      </c>
      <c r="I30" s="59">
        <v>6159</v>
      </c>
      <c r="J30" s="59">
        <v>6051</v>
      </c>
      <c r="K30" s="59">
        <v>5713</v>
      </c>
      <c r="L30" s="59">
        <v>5417</v>
      </c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</row>
    <row r="31" spans="2:32" x14ac:dyDescent="0.2">
      <c r="B31" s="58" t="s">
        <v>18</v>
      </c>
      <c r="C31" s="59">
        <v>6697</v>
      </c>
      <c r="D31" s="59">
        <v>6649</v>
      </c>
      <c r="E31" s="59">
        <v>6090</v>
      </c>
      <c r="F31" s="59">
        <v>5864</v>
      </c>
      <c r="G31" s="59">
        <v>5595</v>
      </c>
      <c r="H31" s="59">
        <v>5247</v>
      </c>
      <c r="I31" s="59">
        <v>4840</v>
      </c>
      <c r="J31" s="59">
        <v>4291</v>
      </c>
      <c r="K31" s="59">
        <v>3572</v>
      </c>
      <c r="L31" s="59">
        <v>3399</v>
      </c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</row>
    <row r="32" spans="2:32" x14ac:dyDescent="0.2">
      <c r="B32" s="58" t="s">
        <v>19</v>
      </c>
      <c r="C32" s="59">
        <v>12827</v>
      </c>
      <c r="D32" s="59">
        <v>12943</v>
      </c>
      <c r="E32" s="59">
        <v>13275</v>
      </c>
      <c r="F32" s="59">
        <v>12668</v>
      </c>
      <c r="G32" s="59">
        <v>12332</v>
      </c>
      <c r="H32" s="59">
        <v>11797</v>
      </c>
      <c r="I32" s="59">
        <v>10879</v>
      </c>
      <c r="J32" s="59">
        <v>10389</v>
      </c>
      <c r="K32" s="59">
        <v>9471</v>
      </c>
      <c r="L32" s="59">
        <v>8567</v>
      </c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</row>
    <row r="33" spans="2:12" x14ac:dyDescent="0.2">
      <c r="B33" s="58" t="s">
        <v>20</v>
      </c>
      <c r="C33" s="59">
        <v>9725</v>
      </c>
      <c r="D33" s="59">
        <v>9486</v>
      </c>
      <c r="E33" s="59">
        <v>9135</v>
      </c>
      <c r="F33" s="59">
        <v>8815</v>
      </c>
      <c r="G33" s="59">
        <v>8562</v>
      </c>
      <c r="H33" s="59">
        <v>8293</v>
      </c>
      <c r="I33" s="59">
        <v>7718</v>
      </c>
      <c r="J33" s="59">
        <v>7489</v>
      </c>
      <c r="K33" s="59">
        <v>7391</v>
      </c>
      <c r="L33" s="59">
        <v>7204</v>
      </c>
    </row>
    <row r="34" spans="2:12" x14ac:dyDescent="0.2">
      <c r="B34" s="58" t="s">
        <v>21</v>
      </c>
      <c r="C34" s="59">
        <v>5115</v>
      </c>
      <c r="D34" s="59">
        <v>5029</v>
      </c>
      <c r="E34" s="59">
        <v>4969</v>
      </c>
      <c r="F34" s="59">
        <v>4855</v>
      </c>
      <c r="G34" s="59">
        <v>4521</v>
      </c>
      <c r="H34" s="59">
        <v>4220</v>
      </c>
      <c r="I34" s="59">
        <v>3845</v>
      </c>
      <c r="J34" s="59">
        <v>3472</v>
      </c>
      <c r="K34" s="59">
        <v>3067</v>
      </c>
      <c r="L34" s="59">
        <v>2752</v>
      </c>
    </row>
    <row r="35" spans="2:12" x14ac:dyDescent="0.2">
      <c r="B35" s="58" t="s">
        <v>22</v>
      </c>
      <c r="C35" s="59">
        <v>2945</v>
      </c>
      <c r="D35" s="59">
        <v>2876</v>
      </c>
      <c r="E35" s="59">
        <v>2824</v>
      </c>
      <c r="F35" s="59">
        <v>2717</v>
      </c>
      <c r="G35" s="59">
        <v>2587</v>
      </c>
      <c r="H35" s="59">
        <v>2268</v>
      </c>
      <c r="I35" s="59">
        <v>2121</v>
      </c>
      <c r="J35" s="59">
        <v>1861</v>
      </c>
      <c r="K35" s="59">
        <v>1612</v>
      </c>
      <c r="L35" s="59">
        <v>1660</v>
      </c>
    </row>
    <row r="36" spans="2:12" x14ac:dyDescent="0.2">
      <c r="B36" s="58" t="s">
        <v>23</v>
      </c>
      <c r="C36" s="59">
        <v>7604</v>
      </c>
      <c r="D36" s="59">
        <v>7644</v>
      </c>
      <c r="E36" s="59">
        <v>7424</v>
      </c>
      <c r="F36" s="59">
        <v>7388</v>
      </c>
      <c r="G36" s="59">
        <v>7171</v>
      </c>
      <c r="H36" s="59">
        <v>7084</v>
      </c>
      <c r="I36" s="59">
        <v>6980</v>
      </c>
      <c r="J36" s="59">
        <v>6778</v>
      </c>
      <c r="K36" s="59">
        <v>6779</v>
      </c>
      <c r="L36" s="59">
        <v>6794</v>
      </c>
    </row>
    <row r="37" spans="2:12" x14ac:dyDescent="0.2">
      <c r="B37" s="58" t="s">
        <v>24</v>
      </c>
      <c r="C37" s="59">
        <v>7143</v>
      </c>
      <c r="D37" s="59">
        <v>7132</v>
      </c>
      <c r="E37" s="59">
        <v>6712</v>
      </c>
      <c r="F37" s="59">
        <v>6550</v>
      </c>
      <c r="G37" s="59">
        <v>6305</v>
      </c>
      <c r="H37" s="59">
        <v>6027</v>
      </c>
      <c r="I37" s="59">
        <v>5912</v>
      </c>
      <c r="J37" s="59">
        <v>5585</v>
      </c>
      <c r="K37" s="59">
        <v>5501</v>
      </c>
      <c r="L37" s="59">
        <v>5286</v>
      </c>
    </row>
    <row r="38" spans="2:12" x14ac:dyDescent="0.2">
      <c r="B38" s="58" t="s">
        <v>25</v>
      </c>
      <c r="C38" s="59">
        <v>8026</v>
      </c>
      <c r="D38" s="59">
        <v>7961</v>
      </c>
      <c r="E38" s="59">
        <v>7860</v>
      </c>
      <c r="F38" s="59">
        <v>7595</v>
      </c>
      <c r="G38" s="59">
        <v>7587</v>
      </c>
      <c r="H38" s="59">
        <v>7583</v>
      </c>
      <c r="I38" s="59">
        <v>7664</v>
      </c>
      <c r="J38" s="59">
        <v>7638</v>
      </c>
      <c r="K38" s="59">
        <v>7538</v>
      </c>
      <c r="L38" s="59">
        <v>7468</v>
      </c>
    </row>
    <row r="39" spans="2:12" x14ac:dyDescent="0.2">
      <c r="B39" s="61" t="s">
        <v>26</v>
      </c>
      <c r="C39" s="62">
        <v>12232</v>
      </c>
      <c r="D39" s="62">
        <v>12834</v>
      </c>
      <c r="E39" s="62">
        <v>13297</v>
      </c>
      <c r="F39" s="62">
        <v>13711</v>
      </c>
      <c r="G39" s="62">
        <v>13844</v>
      </c>
      <c r="H39" s="62">
        <v>14221</v>
      </c>
      <c r="I39" s="62">
        <v>14398</v>
      </c>
      <c r="J39" s="62">
        <v>14481</v>
      </c>
      <c r="K39" s="62">
        <v>14592</v>
      </c>
      <c r="L39" s="62">
        <v>14637</v>
      </c>
    </row>
    <row r="40" spans="2:12" x14ac:dyDescent="0.2">
      <c r="B40" s="20" t="s">
        <v>27</v>
      </c>
      <c r="C40" s="21">
        <f>SUBTOTAL(109,'Enrollment by level Trend'!$C$26:$C$39)</f>
        <v>102974</v>
      </c>
      <c r="D40" s="21">
        <f>SUBTOTAL(109,'Enrollment by level Trend'!$D$26:$D$39)</f>
        <v>102900</v>
      </c>
      <c r="E40" s="21">
        <f>SUBTOTAL(109,'Enrollment by level Trend'!$E$26:$E$39)</f>
        <v>100567</v>
      </c>
      <c r="F40" s="21">
        <f>SUBTOTAL(109,'Enrollment by level Trend'!$F$26:$F$39)</f>
        <v>98593</v>
      </c>
      <c r="G40" s="21">
        <f>SUBTOTAL(109,'Enrollment by level Trend'!$G$26:$G$39)</f>
        <v>96006</v>
      </c>
      <c r="H40" s="21">
        <f>SUBTOTAL(109,'Enrollment by level Trend'!$H$26:$H$39)</f>
        <v>93091</v>
      </c>
      <c r="I40" s="21">
        <f>SUBTOTAL(109,'Enrollment by level Trend'!$I$26:$I$39)</f>
        <v>90072</v>
      </c>
      <c r="J40" s="21">
        <f>SUBTOTAL(109,'Enrollment by level Trend'!$J$26:$J$39)</f>
        <v>87242</v>
      </c>
      <c r="K40" s="21">
        <f>SUBTOTAL(109,'Enrollment by level Trend'!$K$26:$K$39)</f>
        <v>83074</v>
      </c>
      <c r="L40" s="21">
        <f>SUBTOTAL(109,'Enrollment by level Trend'!$L$26:$L$39)</f>
        <v>80426</v>
      </c>
    </row>
    <row r="43" spans="2:12" ht="15" x14ac:dyDescent="0.2">
      <c r="B43" s="132" t="str">
        <f>CONCATENATE("Graduate Enrollment ",  IF(RIGHT(Parameters!B1,1) = "1","Fall ", "Spring "),IF(RIGHT(Parameters!B1,1)  = "1",LEFT(Parameters!B1,4) -9, LEFT(Parameters!B1,4)-8 ),"-",IF(RIGHT(Parameters!B1,1)  = "1",LEFT(Parameters!B1,4), LEFT(Parameters!B1,4)+1 ))</f>
        <v>Graduate Enrollment Fall 2010-2019</v>
      </c>
      <c r="C43" s="132"/>
      <c r="D43" s="132"/>
      <c r="E43" s="132"/>
      <c r="F43" s="132"/>
      <c r="G43" s="132"/>
      <c r="H43" s="132"/>
      <c r="I43" s="132"/>
      <c r="J43" s="132"/>
      <c r="K43" s="132"/>
      <c r="L43" s="132"/>
    </row>
    <row r="44" spans="2:12" ht="30.95" customHeight="1" x14ac:dyDescent="0.2">
      <c r="B44" s="52" t="s">
        <v>1</v>
      </c>
      <c r="C44" s="52" t="str">
        <f>CONCATENATE(IF(RIGHT(Parameters!B1,1) = "1","Fall ", "Spring "),IF(RIGHT(Parameters!B1,1) = "1",LEFT(Parameters!B1,4) -9, LEFT(Parameters!B1,4) - 8))</f>
        <v>Fall 2010</v>
      </c>
      <c r="D44" s="52" t="str">
        <f>CONCATENATE(IF(RIGHT(Parameters!B1,1) = "1","Fall ", "Spring "),IF(RIGHT(Parameters!B1,1) = "1",LEFT(Parameters!B1,4) -8, LEFT(Parameters!B1,4) - 7))</f>
        <v>Fall 2011</v>
      </c>
      <c r="E44" s="52" t="str">
        <f>CONCATENATE(IF(RIGHT(Parameters!B1,1) = "1","Fall ", "Spring "),IF(RIGHT(Parameters!B1,1) = "1",LEFT(Parameters!B1,4) -7, LEFT(Parameters!B1,4) - 6))</f>
        <v>Fall 2012</v>
      </c>
      <c r="F44" s="52" t="str">
        <f>CONCATENATE(IF(RIGHT(Parameters!B1,1) = "1","Fall ", "Spring "),IF(RIGHT(Parameters!B1,1) = "1",LEFT(Parameters!B1,4) -6, LEFT(Parameters!B1,4) - 5))</f>
        <v>Fall 2013</v>
      </c>
      <c r="G44" s="52" t="str">
        <f>CONCATENATE(IF(RIGHT(Parameters!B1,1) = "1","Fall ", "Spring "),IF(RIGHT(Parameters!B1,1) = "1",LEFT(Parameters!B1,4) -5, LEFT(Parameters!B1,4) - 4))</f>
        <v>Fall 2014</v>
      </c>
      <c r="H44" s="52" t="str">
        <f>CONCATENATE(IF(RIGHT(Parameters!B1,1) = "1","Fall ", "Spring "),IF(RIGHT(Parameters!B1,1) = "1",LEFT(Parameters!B1,4) -4, LEFT(Parameters!B1,4) - 3))</f>
        <v>Fall 2015</v>
      </c>
      <c r="I44" s="52" t="str">
        <f>CONCATENATE(IF(RIGHT(Parameters!B1,1) = "1","Fall ", "Spring "),IF(RIGHT(Parameters!B1,1) = "1",LEFT(Parameters!B1,4) -3, LEFT(Parameters!B1,4) - 2))</f>
        <v>Fall 2016</v>
      </c>
      <c r="J44" s="52" t="str">
        <f>CONCATENATE(IF(RIGHT(Parameters!B1,1) = "1","Fall ", "Spring "),IF(RIGHT(Parameters!B1,1) = "1",LEFT(Parameters!B1,4) -2, LEFT(Parameters!B1,4) - 1))</f>
        <v>Fall 2017</v>
      </c>
      <c r="K44" s="52" t="str">
        <f>CONCATENATE(IF(RIGHT(Parameters!B1,1) = "1","Fall ", "Spring "),IF(RIGHT(Parameters!B1,1) = "1",LEFT(Parameters!B1,4) -1, LEFT(Parameters!B1,4) ))</f>
        <v>Fall 2018</v>
      </c>
      <c r="L44" s="52" t="str">
        <f>CONCATENATE(IF(RIGHT(Parameters!B1,1) = "1","Fall ", "Spring "),IF(RIGHT(Parameters!B1,1) = "1",LEFT(Parameters!B1,4), LEFT(Parameters!B1,4) + 1))</f>
        <v>Fall 2019</v>
      </c>
    </row>
    <row r="45" spans="2:12" ht="16.5" hidden="1" customHeight="1" x14ac:dyDescent="0.2">
      <c r="B45" s="26" t="s">
        <v>2</v>
      </c>
      <c r="C45" s="26" t="s">
        <v>3</v>
      </c>
      <c r="D45" s="26" t="s">
        <v>4</v>
      </c>
      <c r="E45" s="26" t="s">
        <v>5</v>
      </c>
      <c r="F45" s="26" t="s">
        <v>6</v>
      </c>
      <c r="G45" s="26" t="s">
        <v>7</v>
      </c>
      <c r="H45" s="26" t="s">
        <v>8</v>
      </c>
      <c r="I45" s="26" t="s">
        <v>9</v>
      </c>
      <c r="J45" s="26" t="s">
        <v>10</v>
      </c>
      <c r="K45" s="26" t="s">
        <v>11</v>
      </c>
      <c r="L45" s="26" t="s">
        <v>12</v>
      </c>
    </row>
    <row r="46" spans="2:12" x14ac:dyDescent="0.2">
      <c r="B46" s="56" t="s">
        <v>13</v>
      </c>
      <c r="C46" s="57">
        <v>955</v>
      </c>
      <c r="D46" s="57">
        <v>903</v>
      </c>
      <c r="E46" s="57">
        <v>747</v>
      </c>
      <c r="F46" s="57">
        <v>711</v>
      </c>
      <c r="G46" s="57">
        <v>679</v>
      </c>
      <c r="H46" s="57">
        <v>619</v>
      </c>
      <c r="I46" s="57">
        <v>663</v>
      </c>
      <c r="J46" s="57">
        <v>681</v>
      </c>
      <c r="K46" s="57">
        <v>671</v>
      </c>
      <c r="L46" s="57">
        <v>697</v>
      </c>
    </row>
    <row r="47" spans="2:12" x14ac:dyDescent="0.2">
      <c r="B47" s="58" t="s">
        <v>14</v>
      </c>
      <c r="C47" s="59">
        <v>1981</v>
      </c>
      <c r="D47" s="59">
        <v>2066</v>
      </c>
      <c r="E47" s="59">
        <v>1927</v>
      </c>
      <c r="F47" s="59">
        <v>1793</v>
      </c>
      <c r="G47" s="59">
        <v>1902</v>
      </c>
      <c r="H47" s="59">
        <v>2069</v>
      </c>
      <c r="I47" s="59">
        <v>2031</v>
      </c>
      <c r="J47" s="59">
        <v>2231</v>
      </c>
      <c r="K47" s="59">
        <v>2138</v>
      </c>
      <c r="L47" s="59">
        <v>1986</v>
      </c>
    </row>
    <row r="48" spans="2:12" x14ac:dyDescent="0.2">
      <c r="B48" s="58" t="s">
        <v>15</v>
      </c>
      <c r="C48" s="59">
        <v>78</v>
      </c>
      <c r="D48" s="59">
        <v>59</v>
      </c>
      <c r="E48" s="59">
        <v>60</v>
      </c>
      <c r="F48" s="59">
        <v>33</v>
      </c>
      <c r="G48" s="59">
        <v>25</v>
      </c>
      <c r="H48" s="59">
        <v>25</v>
      </c>
      <c r="I48" s="59">
        <v>37</v>
      </c>
      <c r="J48" s="59">
        <v>32</v>
      </c>
      <c r="K48" s="59">
        <v>0</v>
      </c>
      <c r="L48" s="59">
        <v>0</v>
      </c>
    </row>
    <row r="49" spans="2:12" x14ac:dyDescent="0.2">
      <c r="B49" s="58" t="s">
        <v>16</v>
      </c>
      <c r="C49" s="59">
        <v>1090</v>
      </c>
      <c r="D49" s="59">
        <v>1115</v>
      </c>
      <c r="E49" s="59">
        <v>1002</v>
      </c>
      <c r="F49" s="59">
        <v>881</v>
      </c>
      <c r="G49" s="59">
        <v>806</v>
      </c>
      <c r="H49" s="59">
        <v>813</v>
      </c>
      <c r="I49" s="59">
        <v>894</v>
      </c>
      <c r="J49" s="59">
        <v>904</v>
      </c>
      <c r="K49" s="59">
        <v>927</v>
      </c>
      <c r="L49" s="59">
        <v>927</v>
      </c>
    </row>
    <row r="50" spans="2:12" x14ac:dyDescent="0.2">
      <c r="B50" s="58" t="s">
        <v>17</v>
      </c>
      <c r="C50" s="59">
        <v>1015</v>
      </c>
      <c r="D50" s="59">
        <v>697</v>
      </c>
      <c r="E50" s="59">
        <v>588</v>
      </c>
      <c r="F50" s="59">
        <v>592</v>
      </c>
      <c r="G50" s="59">
        <v>616</v>
      </c>
      <c r="H50" s="59">
        <v>661</v>
      </c>
      <c r="I50" s="59">
        <v>671</v>
      </c>
      <c r="J50" s="59">
        <v>691</v>
      </c>
      <c r="K50" s="59">
        <v>712</v>
      </c>
      <c r="L50" s="59">
        <v>797</v>
      </c>
    </row>
    <row r="51" spans="2:12" x14ac:dyDescent="0.2">
      <c r="B51" s="58" t="s">
        <v>18</v>
      </c>
      <c r="C51" s="59">
        <v>1945</v>
      </c>
      <c r="D51" s="59">
        <v>1613</v>
      </c>
      <c r="E51" s="59">
        <v>1372</v>
      </c>
      <c r="F51" s="59">
        <v>1234</v>
      </c>
      <c r="G51" s="59">
        <v>1242</v>
      </c>
      <c r="H51" s="59">
        <v>1303</v>
      </c>
      <c r="I51" s="59">
        <v>1341</v>
      </c>
      <c r="J51" s="59">
        <v>1284</v>
      </c>
      <c r="K51" s="59">
        <v>1262</v>
      </c>
      <c r="L51" s="59">
        <v>1247</v>
      </c>
    </row>
    <row r="52" spans="2:12" x14ac:dyDescent="0.2">
      <c r="B52" s="58" t="s">
        <v>19</v>
      </c>
      <c r="C52" s="59">
        <v>2299</v>
      </c>
      <c r="D52" s="59">
        <v>2189</v>
      </c>
      <c r="E52" s="59">
        <v>2321</v>
      </c>
      <c r="F52" s="59">
        <v>2257</v>
      </c>
      <c r="G52" s="59">
        <v>2239</v>
      </c>
      <c r="H52" s="59">
        <v>2238</v>
      </c>
      <c r="I52" s="59">
        <v>2235</v>
      </c>
      <c r="J52" s="59">
        <v>2173</v>
      </c>
      <c r="K52" s="59">
        <v>2110</v>
      </c>
      <c r="L52" s="59">
        <v>2069</v>
      </c>
    </row>
    <row r="53" spans="2:12" x14ac:dyDescent="0.2">
      <c r="B53" s="58" t="s">
        <v>20</v>
      </c>
      <c r="C53" s="59">
        <v>982</v>
      </c>
      <c r="D53" s="59">
        <v>797</v>
      </c>
      <c r="E53" s="59">
        <v>669</v>
      </c>
      <c r="F53" s="59">
        <v>698</v>
      </c>
      <c r="G53" s="59">
        <v>656</v>
      </c>
      <c r="H53" s="59">
        <v>707</v>
      </c>
      <c r="I53" s="59">
        <v>795</v>
      </c>
      <c r="J53" s="59">
        <v>840</v>
      </c>
      <c r="K53" s="59">
        <v>918</v>
      </c>
      <c r="L53" s="59">
        <v>995</v>
      </c>
    </row>
    <row r="54" spans="2:12" x14ac:dyDescent="0.2">
      <c r="B54" s="58" t="s">
        <v>21</v>
      </c>
      <c r="C54" s="59">
        <v>336</v>
      </c>
      <c r="D54" s="59">
        <v>337</v>
      </c>
      <c r="E54" s="59">
        <v>359</v>
      </c>
      <c r="F54" s="59">
        <v>405</v>
      </c>
      <c r="G54" s="59">
        <v>396</v>
      </c>
      <c r="H54" s="59">
        <v>387</v>
      </c>
      <c r="I54" s="59">
        <v>375</v>
      </c>
      <c r="J54" s="59">
        <v>355</v>
      </c>
      <c r="K54" s="59">
        <v>358</v>
      </c>
      <c r="L54" s="59">
        <v>410</v>
      </c>
    </row>
    <row r="55" spans="2:12" x14ac:dyDescent="0.2">
      <c r="B55" s="58" t="s">
        <v>22</v>
      </c>
      <c r="C55" s="59">
        <v>466</v>
      </c>
      <c r="D55" s="59">
        <v>399</v>
      </c>
      <c r="E55" s="59">
        <v>307</v>
      </c>
      <c r="F55" s="59">
        <v>253</v>
      </c>
      <c r="G55" s="59">
        <v>165</v>
      </c>
      <c r="H55" s="59">
        <v>121</v>
      </c>
      <c r="I55" s="59">
        <v>86</v>
      </c>
      <c r="J55" s="59">
        <v>61</v>
      </c>
      <c r="K55" s="59">
        <v>38</v>
      </c>
      <c r="L55" s="59">
        <v>23</v>
      </c>
    </row>
    <row r="56" spans="2:12" x14ac:dyDescent="0.2">
      <c r="B56" s="58" t="s">
        <v>23</v>
      </c>
      <c r="C56" s="59">
        <v>1125</v>
      </c>
      <c r="D56" s="59">
        <v>1081</v>
      </c>
      <c r="E56" s="59">
        <v>944</v>
      </c>
      <c r="F56" s="59">
        <v>891</v>
      </c>
      <c r="G56" s="59">
        <v>876</v>
      </c>
      <c r="H56" s="59">
        <v>904</v>
      </c>
      <c r="I56" s="59">
        <v>947</v>
      </c>
      <c r="J56" s="59">
        <v>970</v>
      </c>
      <c r="K56" s="59">
        <v>1002</v>
      </c>
      <c r="L56" s="59">
        <v>1023</v>
      </c>
    </row>
    <row r="57" spans="2:12" x14ac:dyDescent="0.2">
      <c r="B57" s="58" t="s">
        <v>24</v>
      </c>
      <c r="C57" s="59">
        <v>1183</v>
      </c>
      <c r="D57" s="59">
        <v>1051</v>
      </c>
      <c r="E57" s="59">
        <v>1012</v>
      </c>
      <c r="F57" s="59">
        <v>998</v>
      </c>
      <c r="G57" s="59">
        <v>1050</v>
      </c>
      <c r="H57" s="59">
        <v>1031</v>
      </c>
      <c r="I57" s="59">
        <v>1077</v>
      </c>
      <c r="J57" s="59">
        <v>996</v>
      </c>
      <c r="K57" s="59">
        <v>907</v>
      </c>
      <c r="L57" s="59">
        <v>810</v>
      </c>
    </row>
    <row r="58" spans="2:12" x14ac:dyDescent="0.2">
      <c r="B58" s="58" t="s">
        <v>25</v>
      </c>
      <c r="C58" s="59">
        <v>826</v>
      </c>
      <c r="D58" s="59">
        <v>751</v>
      </c>
      <c r="E58" s="59">
        <v>699</v>
      </c>
      <c r="F58" s="59">
        <v>752</v>
      </c>
      <c r="G58" s="59">
        <v>908</v>
      </c>
      <c r="H58" s="59">
        <v>1045</v>
      </c>
      <c r="I58" s="59">
        <v>1217</v>
      </c>
      <c r="J58" s="59">
        <v>1257</v>
      </c>
      <c r="K58" s="59">
        <v>1286</v>
      </c>
      <c r="L58" s="59">
        <v>1338</v>
      </c>
    </row>
    <row r="59" spans="2:12" x14ac:dyDescent="0.2">
      <c r="B59" s="61" t="s">
        <v>26</v>
      </c>
      <c r="C59" s="62">
        <v>2258</v>
      </c>
      <c r="D59" s="62">
        <v>2266</v>
      </c>
      <c r="E59" s="62">
        <v>2114</v>
      </c>
      <c r="F59" s="62">
        <v>2134</v>
      </c>
      <c r="G59" s="62">
        <v>2242</v>
      </c>
      <c r="H59" s="62">
        <v>2385</v>
      </c>
      <c r="I59" s="62">
        <v>2608</v>
      </c>
      <c r="J59" s="62">
        <v>2855</v>
      </c>
      <c r="K59" s="62">
        <v>2960</v>
      </c>
      <c r="L59" s="62">
        <v>3054</v>
      </c>
    </row>
    <row r="60" spans="2:12" x14ac:dyDescent="0.2">
      <c r="B60" s="20" t="s">
        <v>27</v>
      </c>
      <c r="C60" s="21">
        <f>SUBTOTAL(109,'Enrollment by level Trend'!$C$46:$C$59)</f>
        <v>16539</v>
      </c>
      <c r="D60" s="21">
        <f>SUBTOTAL(109,'Enrollment by level Trend'!$D$46:$D$59)</f>
        <v>15324</v>
      </c>
      <c r="E60" s="21">
        <f>SUBTOTAL(109,'Enrollment by level Trend'!$E$46:$E$59)</f>
        <v>14121</v>
      </c>
      <c r="F60" s="21">
        <f>SUBTOTAL(109,'Enrollment by level Trend'!$F$46:$F$59)</f>
        <v>13632</v>
      </c>
      <c r="G60" s="21">
        <f>SUBTOTAL(109,'Enrollment by level Trend'!$G$46:$G$59)</f>
        <v>13802</v>
      </c>
      <c r="H60" s="21">
        <f>SUBTOTAL(109,'Enrollment by level Trend'!$H$46:$H$59)</f>
        <v>14308</v>
      </c>
      <c r="I60" s="21">
        <f>SUBTOTAL(109,'Enrollment by level Trend'!$I$46:$I$59)</f>
        <v>14977</v>
      </c>
      <c r="J60" s="21">
        <f>SUBTOTAL(109,'Enrollment by level Trend'!$J$46:$J$59)</f>
        <v>15330</v>
      </c>
      <c r="K60" s="21">
        <f>SUBTOTAL(109,'Enrollment by level Trend'!$K$46:$K$59)</f>
        <v>15289</v>
      </c>
      <c r="L60" s="21">
        <f>SUBTOTAL(109,'Enrollment by level Trend'!$L$46:$L$59)</f>
        <v>15376</v>
      </c>
    </row>
    <row r="62" spans="2:12" x14ac:dyDescent="0.2">
      <c r="B62" s="6" t="s">
        <v>29</v>
      </c>
      <c r="C62" s="60"/>
      <c r="D62" s="60"/>
      <c r="E62" s="60"/>
      <c r="F62" s="60"/>
      <c r="G62" s="60"/>
      <c r="H62" s="60"/>
      <c r="I62" s="60"/>
      <c r="J62" s="60"/>
      <c r="K62" s="60"/>
      <c r="L62" s="60"/>
    </row>
    <row r="63" spans="2:12" x14ac:dyDescent="0.2">
      <c r="B63" s="9" t="s">
        <v>30</v>
      </c>
      <c r="C63" s="60"/>
      <c r="D63" s="60"/>
      <c r="E63" s="60"/>
      <c r="F63" s="60"/>
      <c r="G63" s="60"/>
      <c r="H63" s="60"/>
      <c r="I63" s="60"/>
      <c r="J63" s="60"/>
      <c r="K63" s="60"/>
      <c r="L63" s="60"/>
    </row>
    <row r="64" spans="2:12" x14ac:dyDescent="0.2">
      <c r="B64" s="9" t="s">
        <v>31</v>
      </c>
      <c r="C64" s="60"/>
      <c r="D64" s="60"/>
      <c r="E64" s="60"/>
      <c r="F64" s="60"/>
      <c r="G64" s="60"/>
      <c r="H64" s="60"/>
      <c r="I64" s="60"/>
      <c r="J64" s="60"/>
      <c r="K64" s="60"/>
      <c r="L64" s="60"/>
    </row>
  </sheetData>
  <mergeCells count="15">
    <mergeCell ref="B23:L23"/>
    <mergeCell ref="B43:L43"/>
    <mergeCell ref="C3:E3"/>
    <mergeCell ref="F3:H3"/>
    <mergeCell ref="I3:K3"/>
    <mergeCell ref="L3:N3"/>
    <mergeCell ref="B1:AF1"/>
    <mergeCell ref="B2:AF2"/>
    <mergeCell ref="U3:W3"/>
    <mergeCell ref="X3:Z3"/>
    <mergeCell ref="AA3:AC3"/>
    <mergeCell ref="AD3:AF3"/>
    <mergeCell ref="O3:Q3"/>
    <mergeCell ref="R3:T3"/>
    <mergeCell ref="B3:B4"/>
  </mergeCells>
  <printOptions horizontalCentered="1"/>
  <pageMargins left="0.5" right="0.5" top="1" bottom="0.5" header="0.3" footer="0.3"/>
  <pageSetup paperSize="17" scale="59" fitToHeight="0" orientation="landscape" r:id="rId1"/>
  <headerFooter>
    <oddHeader>&amp;L&amp;"Arial,Regular"&amp;10Pennsylvania's State System of Higher Education | &amp;D
Office of Educational Intelligence | 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1:L185"/>
  <sheetViews>
    <sheetView zoomScaleNormal="100" workbookViewId="0">
      <selection activeCell="B185" sqref="B185"/>
    </sheetView>
  </sheetViews>
  <sheetFormatPr defaultColWidth="8.85546875" defaultRowHeight="14.25" x14ac:dyDescent="0.2"/>
  <cols>
    <col min="1" max="1" width="8.85546875" style="5"/>
    <col min="2" max="2" width="23.5703125" style="5" customWidth="1"/>
    <col min="3" max="12" width="15.7109375" style="5" customWidth="1"/>
    <col min="13" max="16384" width="8.85546875" style="5"/>
  </cols>
  <sheetData>
    <row r="1" spans="2:12" ht="15" x14ac:dyDescent="0.2">
      <c r="B1" s="126" t="s">
        <v>0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spans="2:12" ht="15" x14ac:dyDescent="0.2">
      <c r="B2" s="126" t="s">
        <v>66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</row>
    <row r="3" spans="2:12" x14ac:dyDescent="0.2"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2:12" ht="15" x14ac:dyDescent="0.2">
      <c r="B4" s="127" t="s">
        <v>67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</row>
    <row r="5" spans="2:12" s="14" customFormat="1" ht="30.95" customHeight="1" x14ac:dyDescent="0.25">
      <c r="B5" s="52" t="s">
        <v>1</v>
      </c>
      <c r="C5" s="52" t="str">
        <f>CONCATENATE(IF(RIGHT(Parameters!B1,1) = "1","Fall ", "Spring "),IF(RIGHT(Parameters!B1,1) = "1",LEFT(Parameters!B1,4) -9, LEFT(Parameters!B1,4) - 8))</f>
        <v>Fall 2010</v>
      </c>
      <c r="D5" s="52" t="str">
        <f>CONCATENATE(IF(RIGHT(Parameters!B1,1) = "1","Fall ", "Spring "),IF(RIGHT(Parameters!B1,1) = "1",LEFT(Parameters!B1,4) -8, LEFT(Parameters!B1,4) - 7))</f>
        <v>Fall 2011</v>
      </c>
      <c r="E5" s="52" t="str">
        <f>CONCATENATE(IF(RIGHT(Parameters!B1,1) = "1","Fall ", "Spring "),IF(RIGHT(Parameters!B1,1) = "1",LEFT(Parameters!B1,4) -7, LEFT(Parameters!B1,4) - 6))</f>
        <v>Fall 2012</v>
      </c>
      <c r="F5" s="52" t="str">
        <f>CONCATENATE(IF(RIGHT(Parameters!B1,1) = "1","Fall ", "Spring "),IF(RIGHT(Parameters!B1,1) = "1",LEFT(Parameters!B1,4) -6, LEFT(Parameters!B1,4) - 5))</f>
        <v>Fall 2013</v>
      </c>
      <c r="G5" s="52" t="str">
        <f>CONCATENATE(IF(RIGHT(Parameters!B1,1) = "1","Fall ", "Spring "),IF(RIGHT(Parameters!B1,1) = "1",LEFT(Parameters!B1,4) -5, LEFT(Parameters!B1,4) - 4))</f>
        <v>Fall 2014</v>
      </c>
      <c r="H5" s="52" t="str">
        <f>CONCATENATE(IF(RIGHT(Parameters!B1,1) = "1","Fall ", "Spring "),IF(RIGHT(Parameters!B1,1) = "1",LEFT(Parameters!B1,4) -4, LEFT(Parameters!B1,4) - 3))</f>
        <v>Fall 2015</v>
      </c>
      <c r="I5" s="52" t="str">
        <f>CONCATENATE(IF(RIGHT(Parameters!B1,1) = "1","Fall ", "Spring "),IF(RIGHT(Parameters!B1,1) = "1",LEFT(Parameters!B1,4) -3, LEFT(Parameters!B1,4) - 2))</f>
        <v>Fall 2016</v>
      </c>
      <c r="J5" s="52" t="str">
        <f>CONCATENATE(IF(RIGHT(Parameters!B1,1) = "1","Fall ", "Spring "),IF(RIGHT(Parameters!B1,1) = "1",LEFT(Parameters!B1,4) -2, LEFT(Parameters!B1,4) - 1))</f>
        <v>Fall 2017</v>
      </c>
      <c r="K5" s="52" t="str">
        <f>CONCATENATE(IF(RIGHT(Parameters!B1,1) = "1","Fall ", "Spring "),IF(RIGHT(Parameters!B1,1) = "1",LEFT(Parameters!B1,4) -1, LEFT(Parameters!B1,4) ))</f>
        <v>Fall 2018</v>
      </c>
      <c r="L5" s="52" t="str">
        <f>CONCATENATE(IF(RIGHT(Parameters!B1,1) = "1","Fall ", "Spring "),IF(RIGHT(Parameters!B1,1) = "1",LEFT(Parameters!B1,4), LEFT(Parameters!B1,4) + 1))</f>
        <v>Fall 2019</v>
      </c>
    </row>
    <row r="6" spans="2:12" ht="16.5" hidden="1" customHeight="1" x14ac:dyDescent="0.2">
      <c r="B6" s="26" t="s">
        <v>2</v>
      </c>
      <c r="C6" s="26" t="s">
        <v>3</v>
      </c>
      <c r="D6" s="26" t="s">
        <v>4</v>
      </c>
      <c r="E6" s="26" t="s">
        <v>5</v>
      </c>
      <c r="F6" s="26" t="s">
        <v>6</v>
      </c>
      <c r="G6" s="26" t="s">
        <v>7</v>
      </c>
      <c r="H6" s="26" t="s">
        <v>8</v>
      </c>
      <c r="I6" s="26" t="s">
        <v>9</v>
      </c>
      <c r="J6" s="26" t="s">
        <v>10</v>
      </c>
      <c r="K6" s="26" t="s">
        <v>11</v>
      </c>
      <c r="L6" s="26" t="s">
        <v>12</v>
      </c>
    </row>
    <row r="7" spans="2:12" x14ac:dyDescent="0.2">
      <c r="B7" s="56" t="s">
        <v>13</v>
      </c>
      <c r="C7" s="57">
        <v>643</v>
      </c>
      <c r="D7" s="57">
        <v>666</v>
      </c>
      <c r="E7" s="57">
        <v>713</v>
      </c>
      <c r="F7" s="57">
        <v>781</v>
      </c>
      <c r="G7" s="57">
        <v>779</v>
      </c>
      <c r="H7" s="57">
        <v>799</v>
      </c>
      <c r="I7" s="57">
        <v>778</v>
      </c>
      <c r="J7" s="57">
        <v>740</v>
      </c>
      <c r="K7" s="57">
        <v>596</v>
      </c>
      <c r="L7" s="57">
        <v>549</v>
      </c>
    </row>
    <row r="8" spans="2:12" x14ac:dyDescent="0.2">
      <c r="B8" s="58" t="s">
        <v>14</v>
      </c>
      <c r="C8" s="59">
        <v>692</v>
      </c>
      <c r="D8" s="59">
        <v>602</v>
      </c>
      <c r="E8" s="59">
        <v>661</v>
      </c>
      <c r="F8" s="59">
        <v>756</v>
      </c>
      <c r="G8" s="59">
        <v>870</v>
      </c>
      <c r="H8" s="59">
        <v>891</v>
      </c>
      <c r="I8" s="59">
        <v>874</v>
      </c>
      <c r="J8" s="59">
        <v>904</v>
      </c>
      <c r="K8" s="59">
        <v>854</v>
      </c>
      <c r="L8" s="59">
        <v>709</v>
      </c>
    </row>
    <row r="9" spans="2:12" x14ac:dyDescent="0.2">
      <c r="B9" s="58" t="s">
        <v>15</v>
      </c>
      <c r="C9" s="59">
        <v>1190</v>
      </c>
      <c r="D9" s="59">
        <v>1121</v>
      </c>
      <c r="E9" s="59">
        <v>1189</v>
      </c>
      <c r="F9" s="59">
        <v>1063</v>
      </c>
      <c r="G9" s="59">
        <v>874</v>
      </c>
      <c r="H9" s="59">
        <v>585</v>
      </c>
      <c r="I9" s="59">
        <v>597</v>
      </c>
      <c r="J9" s="59">
        <v>580</v>
      </c>
      <c r="K9" s="59">
        <v>371</v>
      </c>
      <c r="L9" s="59">
        <v>481</v>
      </c>
    </row>
    <row r="10" spans="2:12" x14ac:dyDescent="0.2">
      <c r="B10" s="58" t="s">
        <v>16</v>
      </c>
      <c r="C10" s="59">
        <v>399</v>
      </c>
      <c r="D10" s="59">
        <v>401</v>
      </c>
      <c r="E10" s="59">
        <v>355</v>
      </c>
      <c r="F10" s="59">
        <v>346</v>
      </c>
      <c r="G10" s="59">
        <v>369</v>
      </c>
      <c r="H10" s="59">
        <v>385</v>
      </c>
      <c r="I10" s="59">
        <v>352</v>
      </c>
      <c r="J10" s="59">
        <v>369</v>
      </c>
      <c r="K10" s="59">
        <v>325</v>
      </c>
      <c r="L10" s="59">
        <v>319</v>
      </c>
    </row>
    <row r="11" spans="2:12" x14ac:dyDescent="0.2">
      <c r="B11" s="58" t="s">
        <v>17</v>
      </c>
      <c r="C11" s="59">
        <v>478</v>
      </c>
      <c r="D11" s="59">
        <v>480</v>
      </c>
      <c r="E11" s="59">
        <v>507</v>
      </c>
      <c r="F11" s="59">
        <v>608</v>
      </c>
      <c r="G11" s="59">
        <v>713</v>
      </c>
      <c r="H11" s="59">
        <v>902</v>
      </c>
      <c r="I11" s="59">
        <v>1003</v>
      </c>
      <c r="J11" s="59">
        <v>1096</v>
      </c>
      <c r="K11" s="59">
        <v>1168</v>
      </c>
      <c r="L11" s="59">
        <v>1129</v>
      </c>
    </row>
    <row r="12" spans="2:12" x14ac:dyDescent="0.2">
      <c r="B12" s="58" t="s">
        <v>18</v>
      </c>
      <c r="C12" s="59">
        <v>558</v>
      </c>
      <c r="D12" s="59">
        <v>526</v>
      </c>
      <c r="E12" s="59">
        <v>478</v>
      </c>
      <c r="F12" s="59">
        <v>476</v>
      </c>
      <c r="G12" s="59">
        <v>555</v>
      </c>
      <c r="H12" s="59">
        <v>493</v>
      </c>
      <c r="I12" s="59">
        <v>458</v>
      </c>
      <c r="J12" s="59">
        <v>386</v>
      </c>
      <c r="K12" s="59">
        <v>299</v>
      </c>
      <c r="L12" s="59">
        <v>255</v>
      </c>
    </row>
    <row r="13" spans="2:12" x14ac:dyDescent="0.2">
      <c r="B13" s="58" t="s">
        <v>19</v>
      </c>
      <c r="C13" s="59">
        <v>1432</v>
      </c>
      <c r="D13" s="59">
        <v>1421</v>
      </c>
      <c r="E13" s="59">
        <v>1478</v>
      </c>
      <c r="F13" s="59">
        <v>1418</v>
      </c>
      <c r="G13" s="59">
        <v>1474</v>
      </c>
      <c r="H13" s="59">
        <v>1482</v>
      </c>
      <c r="I13" s="59">
        <v>1383</v>
      </c>
      <c r="J13" s="59">
        <v>1367</v>
      </c>
      <c r="K13" s="59">
        <v>1243</v>
      </c>
      <c r="L13" s="59">
        <v>1144</v>
      </c>
    </row>
    <row r="14" spans="2:12" x14ac:dyDescent="0.2">
      <c r="B14" s="58" t="s">
        <v>20</v>
      </c>
      <c r="C14" s="59">
        <v>603</v>
      </c>
      <c r="D14" s="59">
        <v>688</v>
      </c>
      <c r="E14" s="59">
        <v>672</v>
      </c>
      <c r="F14" s="59">
        <v>630</v>
      </c>
      <c r="G14" s="59">
        <v>702</v>
      </c>
      <c r="H14" s="59">
        <v>732</v>
      </c>
      <c r="I14" s="59">
        <v>631</v>
      </c>
      <c r="J14" s="59">
        <v>605</v>
      </c>
      <c r="K14" s="59">
        <v>619</v>
      </c>
      <c r="L14" s="59">
        <v>605</v>
      </c>
    </row>
    <row r="15" spans="2:12" x14ac:dyDescent="0.2">
      <c r="B15" s="58" t="s">
        <v>21</v>
      </c>
      <c r="C15" s="59">
        <v>353</v>
      </c>
      <c r="D15" s="59">
        <v>323</v>
      </c>
      <c r="E15" s="59">
        <v>396</v>
      </c>
      <c r="F15" s="59">
        <v>389</v>
      </c>
      <c r="G15" s="59">
        <v>401</v>
      </c>
      <c r="H15" s="59">
        <v>384</v>
      </c>
      <c r="I15" s="59">
        <v>363</v>
      </c>
      <c r="J15" s="59">
        <v>363</v>
      </c>
      <c r="K15" s="59">
        <v>281</v>
      </c>
      <c r="L15" s="59">
        <v>222</v>
      </c>
    </row>
    <row r="16" spans="2:12" x14ac:dyDescent="0.2">
      <c r="B16" s="58" t="s">
        <v>22</v>
      </c>
      <c r="C16" s="59">
        <v>210</v>
      </c>
      <c r="D16" s="59">
        <v>243</v>
      </c>
      <c r="E16" s="59">
        <v>238</v>
      </c>
      <c r="F16" s="59">
        <v>243</v>
      </c>
      <c r="G16" s="59">
        <v>238</v>
      </c>
      <c r="H16" s="59">
        <v>213</v>
      </c>
      <c r="I16" s="59">
        <v>205</v>
      </c>
      <c r="J16" s="59">
        <v>182</v>
      </c>
      <c r="K16" s="59">
        <v>161</v>
      </c>
      <c r="L16" s="59">
        <v>178</v>
      </c>
    </row>
    <row r="17" spans="2:12" x14ac:dyDescent="0.2">
      <c r="B17" s="58" t="s">
        <v>23</v>
      </c>
      <c r="C17" s="59">
        <v>589</v>
      </c>
      <c r="D17" s="59">
        <v>642</v>
      </c>
      <c r="E17" s="59">
        <v>658</v>
      </c>
      <c r="F17" s="59">
        <v>718</v>
      </c>
      <c r="G17" s="59">
        <v>719</v>
      </c>
      <c r="H17" s="59">
        <v>692</v>
      </c>
      <c r="I17" s="59">
        <v>643</v>
      </c>
      <c r="J17" s="59">
        <v>630</v>
      </c>
      <c r="K17" s="59">
        <v>639</v>
      </c>
      <c r="L17" s="59">
        <v>663</v>
      </c>
    </row>
    <row r="18" spans="2:12" x14ac:dyDescent="0.2">
      <c r="B18" s="58" t="s">
        <v>24</v>
      </c>
      <c r="C18" s="59">
        <v>529</v>
      </c>
      <c r="D18" s="59">
        <v>481</v>
      </c>
      <c r="E18" s="59">
        <v>549</v>
      </c>
      <c r="F18" s="59">
        <v>616</v>
      </c>
      <c r="G18" s="59">
        <v>662</v>
      </c>
      <c r="H18" s="59">
        <v>686</v>
      </c>
      <c r="I18" s="59">
        <v>722</v>
      </c>
      <c r="J18" s="59">
        <v>635</v>
      </c>
      <c r="K18" s="59">
        <v>694</v>
      </c>
      <c r="L18" s="59">
        <v>703</v>
      </c>
    </row>
    <row r="19" spans="2:12" x14ac:dyDescent="0.2">
      <c r="B19" s="58" t="s">
        <v>25</v>
      </c>
      <c r="C19" s="59">
        <v>433</v>
      </c>
      <c r="D19" s="59">
        <v>416</v>
      </c>
      <c r="E19" s="59">
        <v>408</v>
      </c>
      <c r="F19" s="59">
        <v>411</v>
      </c>
      <c r="G19" s="59">
        <v>421</v>
      </c>
      <c r="H19" s="59">
        <v>418</v>
      </c>
      <c r="I19" s="59">
        <v>438</v>
      </c>
      <c r="J19" s="59">
        <v>427</v>
      </c>
      <c r="K19" s="59">
        <v>385</v>
      </c>
      <c r="L19" s="59">
        <v>378</v>
      </c>
    </row>
    <row r="20" spans="2:12" x14ac:dyDescent="0.2">
      <c r="B20" s="61" t="s">
        <v>26</v>
      </c>
      <c r="C20" s="62">
        <v>1280</v>
      </c>
      <c r="D20" s="62">
        <v>1371</v>
      </c>
      <c r="E20" s="62">
        <v>1380</v>
      </c>
      <c r="F20" s="62">
        <v>1504</v>
      </c>
      <c r="G20" s="62">
        <v>1644</v>
      </c>
      <c r="H20" s="62">
        <v>1808</v>
      </c>
      <c r="I20" s="62">
        <v>1993</v>
      </c>
      <c r="J20" s="62">
        <v>2016</v>
      </c>
      <c r="K20" s="62">
        <v>2037</v>
      </c>
      <c r="L20" s="62">
        <v>2047</v>
      </c>
    </row>
    <row r="21" spans="2:12" x14ac:dyDescent="0.2">
      <c r="B21" s="20" t="s">
        <v>27</v>
      </c>
      <c r="C21" s="21">
        <f>SUBTOTAL(109,'Ethnic Enrollment'!$C$7:$C$20)</f>
        <v>9389</v>
      </c>
      <c r="D21" s="21">
        <f>SUBTOTAL(109,'Ethnic Enrollment'!$D$7:$D$20)</f>
        <v>9381</v>
      </c>
      <c r="E21" s="21">
        <f>SUBTOTAL(109,'Ethnic Enrollment'!$E$7:$E$20)</f>
        <v>9682</v>
      </c>
      <c r="F21" s="21">
        <f>SUBTOTAL(109,'Ethnic Enrollment'!$F$7:$F$20)</f>
        <v>9959</v>
      </c>
      <c r="G21" s="21">
        <f>SUBTOTAL(109,'Ethnic Enrollment'!$G$7:$G$20)</f>
        <v>10421</v>
      </c>
      <c r="H21" s="21">
        <f>SUBTOTAL(109,'Ethnic Enrollment'!$H$7:$H$20)</f>
        <v>10470</v>
      </c>
      <c r="I21" s="21">
        <f>SUBTOTAL(109,'Ethnic Enrollment'!$I$7:$I$20)</f>
        <v>10440</v>
      </c>
      <c r="J21" s="21">
        <f>SUBTOTAL(109,'Ethnic Enrollment'!$J$7:$J$20)</f>
        <v>10300</v>
      </c>
      <c r="K21" s="21">
        <f>SUBTOTAL(109,'Ethnic Enrollment'!$K$7:$K$20)</f>
        <v>9672</v>
      </c>
      <c r="L21" s="21">
        <f>SUBTOTAL(109,'Ethnic Enrollment'!$L$7:$L$20)</f>
        <v>9382</v>
      </c>
    </row>
    <row r="24" spans="2:12" ht="15" x14ac:dyDescent="0.2">
      <c r="B24" s="127" t="s">
        <v>68</v>
      </c>
      <c r="C24" s="127"/>
      <c r="D24" s="127"/>
      <c r="E24" s="127"/>
      <c r="F24" s="127"/>
      <c r="G24" s="127"/>
      <c r="H24" s="127"/>
      <c r="I24" s="127"/>
      <c r="J24" s="127"/>
      <c r="K24" s="127"/>
      <c r="L24" s="127"/>
    </row>
    <row r="25" spans="2:12" s="14" customFormat="1" ht="30.95" customHeight="1" x14ac:dyDescent="0.25">
      <c r="B25" s="52" t="s">
        <v>1</v>
      </c>
      <c r="C25" s="52" t="str">
        <f>CONCATENATE(IF(RIGHT(Parameters!B1,1) = "1","Fall ", "Spring "),IF(RIGHT(Parameters!B1,1) = "1",LEFT(Parameters!B1,4) -9, LEFT(Parameters!B1,4) - 8))</f>
        <v>Fall 2010</v>
      </c>
      <c r="D25" s="52" t="str">
        <f>CONCATENATE(IF(RIGHT(Parameters!B1,1) = "1","Fall ", "Spring "),IF(RIGHT(Parameters!B1,1) = "1",LEFT(Parameters!B1,4) -8, LEFT(Parameters!B1,4) - 7))</f>
        <v>Fall 2011</v>
      </c>
      <c r="E25" s="52" t="str">
        <f>CONCATENATE(IF(RIGHT(Parameters!B1,1) = "1","Fall ", "Spring "),IF(RIGHT(Parameters!B1,1) = "1",LEFT(Parameters!B1,4) -7, LEFT(Parameters!B1,4) - 6))</f>
        <v>Fall 2012</v>
      </c>
      <c r="F25" s="52" t="str">
        <f>CONCATENATE(IF(RIGHT(Parameters!B1,1) = "1","Fall ", "Spring "),IF(RIGHT(Parameters!B1,1) = "1",LEFT(Parameters!B1,4) -6, LEFT(Parameters!B1,4) - 5))</f>
        <v>Fall 2013</v>
      </c>
      <c r="G25" s="52" t="str">
        <f>CONCATENATE(IF(RIGHT(Parameters!B1,1) = "1","Fall ", "Spring "),IF(RIGHT(Parameters!B1,1) = "1",LEFT(Parameters!B1,4) -5, LEFT(Parameters!B1,4) - 4))</f>
        <v>Fall 2014</v>
      </c>
      <c r="H25" s="52" t="str">
        <f>CONCATENATE(IF(RIGHT(Parameters!B1,1) = "1","Fall ", "Spring "),IF(RIGHT(Parameters!B1,1) = "1",LEFT(Parameters!B1,4) -4, LEFT(Parameters!B1,4) - 3))</f>
        <v>Fall 2015</v>
      </c>
      <c r="I25" s="52" t="str">
        <f>CONCATENATE(IF(RIGHT(Parameters!B1,1) = "1","Fall ", "Spring "),IF(RIGHT(Parameters!B1,1) = "1",LEFT(Parameters!B1,4) -3, LEFT(Parameters!B1,4) - 2))</f>
        <v>Fall 2016</v>
      </c>
      <c r="J25" s="52" t="str">
        <f>CONCATENATE(IF(RIGHT(Parameters!B1,1) = "1","Fall ", "Spring "),IF(RIGHT(Parameters!B1,1) = "1",LEFT(Parameters!B1,4) -2, LEFT(Parameters!B1,4) - 1))</f>
        <v>Fall 2017</v>
      </c>
      <c r="K25" s="52" t="str">
        <f>CONCATENATE(IF(RIGHT(Parameters!B1,1) = "1","Fall ", "Spring "),IF(RIGHT(Parameters!B1,1) = "1",LEFT(Parameters!B1,4) -1, LEFT(Parameters!B1,4) ))</f>
        <v>Fall 2018</v>
      </c>
      <c r="L25" s="52" t="str">
        <f>CONCATENATE(IF(RIGHT(Parameters!B1,1) = "1","Fall ", "Spring "),IF(RIGHT(Parameters!B1,1) = "1",LEFT(Parameters!B1,4), LEFT(Parameters!B1,4) + 1))</f>
        <v>Fall 2019</v>
      </c>
    </row>
    <row r="26" spans="2:12" ht="16.5" hidden="1" customHeight="1" x14ac:dyDescent="0.2">
      <c r="B26" s="63" t="s">
        <v>2</v>
      </c>
      <c r="C26" s="63" t="s">
        <v>3</v>
      </c>
      <c r="D26" s="63" t="s">
        <v>4</v>
      </c>
      <c r="E26" s="63" t="s">
        <v>5</v>
      </c>
      <c r="F26" s="63" t="s">
        <v>6</v>
      </c>
      <c r="G26" s="63" t="s">
        <v>7</v>
      </c>
      <c r="H26" s="63" t="s">
        <v>8</v>
      </c>
      <c r="I26" s="63" t="s">
        <v>9</v>
      </c>
      <c r="J26" s="63" t="s">
        <v>10</v>
      </c>
      <c r="K26" s="63" t="s">
        <v>11</v>
      </c>
      <c r="L26" s="63" t="s">
        <v>12</v>
      </c>
    </row>
    <row r="27" spans="2:12" x14ac:dyDescent="0.2">
      <c r="B27" s="56" t="s">
        <v>13</v>
      </c>
      <c r="C27" s="57">
        <v>333</v>
      </c>
      <c r="D27" s="57">
        <v>363</v>
      </c>
      <c r="E27" s="57">
        <v>382</v>
      </c>
      <c r="F27" s="57">
        <v>447</v>
      </c>
      <c r="G27" s="57">
        <v>491</v>
      </c>
      <c r="H27" s="57">
        <v>545</v>
      </c>
      <c r="I27" s="57">
        <v>614</v>
      </c>
      <c r="J27" s="57">
        <v>612</v>
      </c>
      <c r="K27" s="57">
        <v>600</v>
      </c>
      <c r="L27" s="57">
        <v>617</v>
      </c>
    </row>
    <row r="28" spans="2:12" x14ac:dyDescent="0.2">
      <c r="B28" s="58" t="s">
        <v>14</v>
      </c>
      <c r="C28" s="59">
        <v>163</v>
      </c>
      <c r="D28" s="59">
        <v>198</v>
      </c>
      <c r="E28" s="59">
        <v>207</v>
      </c>
      <c r="F28" s="59">
        <v>235</v>
      </c>
      <c r="G28" s="59">
        <v>257</v>
      </c>
      <c r="H28" s="59">
        <v>237</v>
      </c>
      <c r="I28" s="59">
        <v>232</v>
      </c>
      <c r="J28" s="59">
        <v>235</v>
      </c>
      <c r="K28" s="59">
        <v>243</v>
      </c>
      <c r="L28" s="59">
        <v>272</v>
      </c>
    </row>
    <row r="29" spans="2:12" x14ac:dyDescent="0.2">
      <c r="B29" s="58" t="s">
        <v>15</v>
      </c>
      <c r="C29" s="59">
        <v>10</v>
      </c>
      <c r="D29" s="59">
        <v>21</v>
      </c>
      <c r="E29" s="59">
        <v>44</v>
      </c>
      <c r="F29" s="59">
        <v>59</v>
      </c>
      <c r="G29" s="59">
        <v>38</v>
      </c>
      <c r="H29" s="59">
        <v>37</v>
      </c>
      <c r="I29" s="59">
        <v>40</v>
      </c>
      <c r="J29" s="59">
        <v>36</v>
      </c>
      <c r="K29" s="59">
        <v>40</v>
      </c>
      <c r="L29" s="59">
        <v>68</v>
      </c>
    </row>
    <row r="30" spans="2:12" x14ac:dyDescent="0.2">
      <c r="B30" s="58" t="s">
        <v>16</v>
      </c>
      <c r="C30" s="59">
        <v>87</v>
      </c>
      <c r="D30" s="59">
        <v>98</v>
      </c>
      <c r="E30" s="59">
        <v>100</v>
      </c>
      <c r="F30" s="59">
        <v>127</v>
      </c>
      <c r="G30" s="59">
        <v>125</v>
      </c>
      <c r="H30" s="59">
        <v>124</v>
      </c>
      <c r="I30" s="59">
        <v>128</v>
      </c>
      <c r="J30" s="59">
        <v>141</v>
      </c>
      <c r="K30" s="59">
        <v>139</v>
      </c>
      <c r="L30" s="59">
        <v>162</v>
      </c>
    </row>
    <row r="31" spans="2:12" x14ac:dyDescent="0.2">
      <c r="B31" s="58" t="s">
        <v>17</v>
      </c>
      <c r="C31" s="59">
        <v>483</v>
      </c>
      <c r="D31" s="59">
        <v>577</v>
      </c>
      <c r="E31" s="59">
        <v>592</v>
      </c>
      <c r="F31" s="59">
        <v>666</v>
      </c>
      <c r="G31" s="59">
        <v>700</v>
      </c>
      <c r="H31" s="59">
        <v>750</v>
      </c>
      <c r="I31" s="59">
        <v>719</v>
      </c>
      <c r="J31" s="59">
        <v>799</v>
      </c>
      <c r="K31" s="59">
        <v>738</v>
      </c>
      <c r="L31" s="59">
        <v>792</v>
      </c>
    </row>
    <row r="32" spans="2:12" x14ac:dyDescent="0.2">
      <c r="B32" s="58" t="s">
        <v>18</v>
      </c>
      <c r="C32" s="59">
        <v>144</v>
      </c>
      <c r="D32" s="59">
        <v>159</v>
      </c>
      <c r="E32" s="59">
        <v>172</v>
      </c>
      <c r="F32" s="59">
        <v>186</v>
      </c>
      <c r="G32" s="59">
        <v>181</v>
      </c>
      <c r="H32" s="59">
        <v>147</v>
      </c>
      <c r="I32" s="59">
        <v>158</v>
      </c>
      <c r="J32" s="59">
        <v>164</v>
      </c>
      <c r="K32" s="59">
        <v>157</v>
      </c>
      <c r="L32" s="59">
        <v>175</v>
      </c>
    </row>
    <row r="33" spans="2:12" x14ac:dyDescent="0.2">
      <c r="B33" s="58" t="s">
        <v>19</v>
      </c>
      <c r="C33" s="59">
        <v>300</v>
      </c>
      <c r="D33" s="59">
        <v>346</v>
      </c>
      <c r="E33" s="59">
        <v>404</v>
      </c>
      <c r="F33" s="59">
        <v>420</v>
      </c>
      <c r="G33" s="59">
        <v>479</v>
      </c>
      <c r="H33" s="59">
        <v>518</v>
      </c>
      <c r="I33" s="59">
        <v>523</v>
      </c>
      <c r="J33" s="59">
        <v>500</v>
      </c>
      <c r="K33" s="59">
        <v>481</v>
      </c>
      <c r="L33" s="59">
        <v>453</v>
      </c>
    </row>
    <row r="34" spans="2:12" x14ac:dyDescent="0.2">
      <c r="B34" s="58" t="s">
        <v>20</v>
      </c>
      <c r="C34" s="59">
        <v>519</v>
      </c>
      <c r="D34" s="59">
        <v>560</v>
      </c>
      <c r="E34" s="59">
        <v>579</v>
      </c>
      <c r="F34" s="59">
        <v>566</v>
      </c>
      <c r="G34" s="59">
        <v>661</v>
      </c>
      <c r="H34" s="59">
        <v>640</v>
      </c>
      <c r="I34" s="59">
        <v>662</v>
      </c>
      <c r="J34" s="59">
        <v>720</v>
      </c>
      <c r="K34" s="59">
        <v>710</v>
      </c>
      <c r="L34" s="59">
        <v>695</v>
      </c>
    </row>
    <row r="35" spans="2:12" x14ac:dyDescent="0.2">
      <c r="B35" s="58" t="s">
        <v>21</v>
      </c>
      <c r="C35" s="59">
        <v>117</v>
      </c>
      <c r="D35" s="59">
        <v>110</v>
      </c>
      <c r="E35" s="59">
        <v>110</v>
      </c>
      <c r="F35" s="59">
        <v>114</v>
      </c>
      <c r="G35" s="59">
        <v>97</v>
      </c>
      <c r="H35" s="59">
        <v>95</v>
      </c>
      <c r="I35" s="59">
        <v>96</v>
      </c>
      <c r="J35" s="59">
        <v>58</v>
      </c>
      <c r="K35" s="59">
        <v>42</v>
      </c>
      <c r="L35" s="59">
        <v>104</v>
      </c>
    </row>
    <row r="36" spans="2:12" x14ac:dyDescent="0.2">
      <c r="B36" s="58" t="s">
        <v>22</v>
      </c>
      <c r="C36" s="59">
        <v>75</v>
      </c>
      <c r="D36" s="59">
        <v>80</v>
      </c>
      <c r="E36" s="59">
        <v>84</v>
      </c>
      <c r="F36" s="59">
        <v>80</v>
      </c>
      <c r="G36" s="59">
        <v>87</v>
      </c>
      <c r="H36" s="59">
        <v>76</v>
      </c>
      <c r="I36" s="59">
        <v>74</v>
      </c>
      <c r="J36" s="59">
        <v>69</v>
      </c>
      <c r="K36" s="59">
        <v>55</v>
      </c>
      <c r="L36" s="59">
        <v>72</v>
      </c>
    </row>
    <row r="37" spans="2:12" x14ac:dyDescent="0.2">
      <c r="B37" s="58" t="s">
        <v>23</v>
      </c>
      <c r="C37" s="59">
        <v>421</v>
      </c>
      <c r="D37" s="59">
        <v>474</v>
      </c>
      <c r="E37" s="59">
        <v>527</v>
      </c>
      <c r="F37" s="59">
        <v>559</v>
      </c>
      <c r="G37" s="59">
        <v>613</v>
      </c>
      <c r="H37" s="59">
        <v>618</v>
      </c>
      <c r="I37" s="59">
        <v>658</v>
      </c>
      <c r="J37" s="59">
        <v>803</v>
      </c>
      <c r="K37" s="59">
        <v>793</v>
      </c>
      <c r="L37" s="59">
        <v>786</v>
      </c>
    </row>
    <row r="38" spans="2:12" x14ac:dyDescent="0.2">
      <c r="B38" s="58" t="s">
        <v>24</v>
      </c>
      <c r="C38" s="59">
        <v>186</v>
      </c>
      <c r="D38" s="59">
        <v>233</v>
      </c>
      <c r="E38" s="59">
        <v>255</v>
      </c>
      <c r="F38" s="59">
        <v>285</v>
      </c>
      <c r="G38" s="59">
        <v>319</v>
      </c>
      <c r="H38" s="59">
        <v>305</v>
      </c>
      <c r="I38" s="59">
        <v>337</v>
      </c>
      <c r="J38" s="59">
        <v>359</v>
      </c>
      <c r="K38" s="59">
        <v>363</v>
      </c>
      <c r="L38" s="59">
        <v>363</v>
      </c>
    </row>
    <row r="39" spans="2:12" x14ac:dyDescent="0.2">
      <c r="B39" s="58" t="s">
        <v>25</v>
      </c>
      <c r="C39" s="59">
        <v>126</v>
      </c>
      <c r="D39" s="59">
        <v>124</v>
      </c>
      <c r="E39" s="59">
        <v>142</v>
      </c>
      <c r="F39" s="59">
        <v>169</v>
      </c>
      <c r="G39" s="59">
        <v>175</v>
      </c>
      <c r="H39" s="59">
        <v>196</v>
      </c>
      <c r="I39" s="59">
        <v>191</v>
      </c>
      <c r="J39" s="59">
        <v>200</v>
      </c>
      <c r="K39" s="59">
        <v>220</v>
      </c>
      <c r="L39" s="59">
        <v>218</v>
      </c>
    </row>
    <row r="40" spans="2:12" x14ac:dyDescent="0.2">
      <c r="B40" s="61" t="s">
        <v>26</v>
      </c>
      <c r="C40" s="62">
        <v>486</v>
      </c>
      <c r="D40" s="62">
        <v>602</v>
      </c>
      <c r="E40" s="62">
        <v>671</v>
      </c>
      <c r="F40" s="62">
        <v>700</v>
      </c>
      <c r="G40" s="62">
        <v>757</v>
      </c>
      <c r="H40" s="62">
        <v>838</v>
      </c>
      <c r="I40" s="62">
        <v>876</v>
      </c>
      <c r="J40" s="62">
        <v>934</v>
      </c>
      <c r="K40" s="62">
        <v>974</v>
      </c>
      <c r="L40" s="62">
        <v>1062</v>
      </c>
    </row>
    <row r="41" spans="2:12" x14ac:dyDescent="0.2">
      <c r="B41" s="20" t="s">
        <v>27</v>
      </c>
      <c r="C41" s="21">
        <f>SUBTOTAL(109,'Ethnic Enrollment'!$C$27:$C$40)</f>
        <v>3450</v>
      </c>
      <c r="D41" s="21">
        <f>SUBTOTAL(109,'Ethnic Enrollment'!$D$27:$D$40)</f>
        <v>3945</v>
      </c>
      <c r="E41" s="21">
        <f>SUBTOTAL(109,'Ethnic Enrollment'!$E$27:$E$40)</f>
        <v>4269</v>
      </c>
      <c r="F41" s="21">
        <f>SUBTOTAL(109,'Ethnic Enrollment'!$F$27:$F$40)</f>
        <v>4613</v>
      </c>
      <c r="G41" s="21">
        <f>SUBTOTAL(109,'Ethnic Enrollment'!$G$27:$G$40)</f>
        <v>4980</v>
      </c>
      <c r="H41" s="21">
        <f>SUBTOTAL(109,'Ethnic Enrollment'!$H$27:$H$40)</f>
        <v>5126</v>
      </c>
      <c r="I41" s="21">
        <f>SUBTOTAL(109,'Ethnic Enrollment'!$I$27:$I$40)</f>
        <v>5308</v>
      </c>
      <c r="J41" s="21">
        <f>SUBTOTAL(109,'Ethnic Enrollment'!$J$27:$J$40)</f>
        <v>5630</v>
      </c>
      <c r="K41" s="21">
        <f>SUBTOTAL(109,'Ethnic Enrollment'!$K$27:$K$40)</f>
        <v>5555</v>
      </c>
      <c r="L41" s="21">
        <f>SUBTOTAL(109,'Ethnic Enrollment'!$L$27:$L$40)</f>
        <v>5839</v>
      </c>
    </row>
    <row r="44" spans="2:12" ht="15" x14ac:dyDescent="0.2">
      <c r="B44" s="127" t="s">
        <v>69</v>
      </c>
      <c r="C44" s="127"/>
      <c r="D44" s="127"/>
      <c r="E44" s="127"/>
      <c r="F44" s="127"/>
      <c r="G44" s="127"/>
      <c r="H44" s="127"/>
      <c r="I44" s="127"/>
      <c r="J44" s="127"/>
      <c r="K44" s="127"/>
      <c r="L44" s="127"/>
    </row>
    <row r="45" spans="2:12" s="14" customFormat="1" ht="30.95" customHeight="1" x14ac:dyDescent="0.25">
      <c r="B45" s="52" t="s">
        <v>1</v>
      </c>
      <c r="C45" s="52" t="str">
        <f>CONCATENATE(IF(RIGHT(Parameters!B1,1) = "1","Fall ", "Spring "),IF(RIGHT(Parameters!B1,1) = "1",LEFT(Parameters!B1,4) -9, LEFT(Parameters!B1,4) - 8))</f>
        <v>Fall 2010</v>
      </c>
      <c r="D45" s="52" t="str">
        <f>CONCATENATE(IF(RIGHT(Parameters!B1,1) = "1","Fall ", "Spring "),IF(RIGHT(Parameters!B1,1) = "1",LEFT(Parameters!B1,4) -8, LEFT(Parameters!B1,4) - 7))</f>
        <v>Fall 2011</v>
      </c>
      <c r="E45" s="52" t="str">
        <f>CONCATENATE(IF(RIGHT(Parameters!B1,1) = "1","Fall ", "Spring "),IF(RIGHT(Parameters!B1,1) = "1",LEFT(Parameters!B1,4) -7, LEFT(Parameters!B1,4) - 6))</f>
        <v>Fall 2012</v>
      </c>
      <c r="F45" s="52" t="str">
        <f>CONCATENATE(IF(RIGHT(Parameters!B1,1) = "1","Fall ", "Spring "),IF(RIGHT(Parameters!B1,1) = "1",LEFT(Parameters!B1,4) -6, LEFT(Parameters!B1,4) - 5))</f>
        <v>Fall 2013</v>
      </c>
      <c r="G45" s="52" t="str">
        <f>CONCATENATE(IF(RIGHT(Parameters!B1,1) = "1","Fall ", "Spring "),IF(RIGHT(Parameters!B1,1) = "1",LEFT(Parameters!B1,4) -5, LEFT(Parameters!B1,4) - 4))</f>
        <v>Fall 2014</v>
      </c>
      <c r="H45" s="52" t="str">
        <f>CONCATENATE(IF(RIGHT(Parameters!B1,1) = "1","Fall ", "Spring "),IF(RIGHT(Parameters!B1,1) = "1",LEFT(Parameters!B1,4) -4, LEFT(Parameters!B1,4) - 3))</f>
        <v>Fall 2015</v>
      </c>
      <c r="I45" s="52" t="str">
        <f>CONCATENATE(IF(RIGHT(Parameters!B1,1) = "1","Fall ", "Spring "),IF(RIGHT(Parameters!B1,1) = "1",LEFT(Parameters!B1,4) -3, LEFT(Parameters!B1,4) - 2))</f>
        <v>Fall 2016</v>
      </c>
      <c r="J45" s="52" t="str">
        <f>CONCATENATE(IF(RIGHT(Parameters!B1,1) = "1","Fall ", "Spring "),IF(RIGHT(Parameters!B1,1) = "1",LEFT(Parameters!B1,4) -2, LEFT(Parameters!B1,4) - 1))</f>
        <v>Fall 2017</v>
      </c>
      <c r="K45" s="52" t="str">
        <f>CONCATENATE(IF(RIGHT(Parameters!B1,1) = "1","Fall ", "Spring "),IF(RIGHT(Parameters!B1,1) = "1",LEFT(Parameters!B1,4) -1, LEFT(Parameters!B1,4) ))</f>
        <v>Fall 2018</v>
      </c>
      <c r="L45" s="52" t="str">
        <f>CONCATENATE(IF(RIGHT(Parameters!B1,1) = "1","Fall ", "Spring "),IF(RIGHT(Parameters!B1,1) = "1",LEFT(Parameters!B1,4), LEFT(Parameters!B1,4) + 1))</f>
        <v>Fall 2019</v>
      </c>
    </row>
    <row r="46" spans="2:12" ht="16.5" hidden="1" customHeight="1" x14ac:dyDescent="0.2">
      <c r="B46" s="26" t="s">
        <v>2</v>
      </c>
      <c r="C46" s="26" t="s">
        <v>3</v>
      </c>
      <c r="D46" s="26" t="s">
        <v>4</v>
      </c>
      <c r="E46" s="26" t="s">
        <v>5</v>
      </c>
      <c r="F46" s="26" t="s">
        <v>6</v>
      </c>
      <c r="G46" s="26" t="s">
        <v>7</v>
      </c>
      <c r="H46" s="26" t="s">
        <v>8</v>
      </c>
      <c r="I46" s="26" t="s">
        <v>9</v>
      </c>
      <c r="J46" s="26" t="s">
        <v>10</v>
      </c>
      <c r="K46" s="26" t="s">
        <v>11</v>
      </c>
      <c r="L46" s="26" t="s">
        <v>12</v>
      </c>
    </row>
    <row r="47" spans="2:12" x14ac:dyDescent="0.2">
      <c r="B47" s="56" t="s">
        <v>13</v>
      </c>
      <c r="C47" s="57">
        <v>113</v>
      </c>
      <c r="D47" s="57">
        <v>104</v>
      </c>
      <c r="E47" s="57">
        <v>90</v>
      </c>
      <c r="F47" s="57">
        <v>97</v>
      </c>
      <c r="G47" s="57">
        <v>112</v>
      </c>
      <c r="H47" s="57">
        <v>110</v>
      </c>
      <c r="I47" s="57">
        <v>121</v>
      </c>
      <c r="J47" s="57">
        <v>122</v>
      </c>
      <c r="K47" s="57">
        <v>109</v>
      </c>
      <c r="L47" s="57">
        <v>103</v>
      </c>
    </row>
    <row r="48" spans="2:12" x14ac:dyDescent="0.2">
      <c r="B48" s="58" t="s">
        <v>14</v>
      </c>
      <c r="C48" s="59">
        <v>53</v>
      </c>
      <c r="D48" s="59">
        <v>40</v>
      </c>
      <c r="E48" s="59">
        <v>47</v>
      </c>
      <c r="F48" s="59">
        <v>58</v>
      </c>
      <c r="G48" s="59">
        <v>67</v>
      </c>
      <c r="H48" s="59">
        <v>62</v>
      </c>
      <c r="I48" s="59">
        <v>68</v>
      </c>
      <c r="J48" s="59">
        <v>69</v>
      </c>
      <c r="K48" s="59">
        <v>87</v>
      </c>
      <c r="L48" s="59">
        <v>85</v>
      </c>
    </row>
    <row r="49" spans="2:12" x14ac:dyDescent="0.2">
      <c r="B49" s="58" t="s">
        <v>15</v>
      </c>
      <c r="C49" s="59">
        <v>1</v>
      </c>
      <c r="D49" s="59">
        <v>0</v>
      </c>
      <c r="E49" s="59">
        <v>0</v>
      </c>
      <c r="F49" s="59">
        <v>1</v>
      </c>
      <c r="G49" s="59">
        <v>1</v>
      </c>
      <c r="H49" s="59">
        <v>2</v>
      </c>
      <c r="I49" s="59">
        <v>0</v>
      </c>
      <c r="J49" s="59">
        <v>4</v>
      </c>
      <c r="K49" s="59">
        <v>2</v>
      </c>
      <c r="L49" s="59">
        <v>3</v>
      </c>
    </row>
    <row r="50" spans="2:12" x14ac:dyDescent="0.2">
      <c r="B50" s="58" t="s">
        <v>16</v>
      </c>
      <c r="C50" s="59">
        <v>38</v>
      </c>
      <c r="D50" s="59">
        <v>48</v>
      </c>
      <c r="E50" s="59">
        <v>36</v>
      </c>
      <c r="F50" s="59">
        <v>34</v>
      </c>
      <c r="G50" s="59">
        <v>40</v>
      </c>
      <c r="H50" s="59">
        <v>39</v>
      </c>
      <c r="I50" s="59">
        <v>40</v>
      </c>
      <c r="J50" s="59">
        <v>51</v>
      </c>
      <c r="K50" s="59">
        <v>55</v>
      </c>
      <c r="L50" s="59">
        <v>39</v>
      </c>
    </row>
    <row r="51" spans="2:12" x14ac:dyDescent="0.2">
      <c r="B51" s="58" t="s">
        <v>17</v>
      </c>
      <c r="C51" s="59">
        <v>102</v>
      </c>
      <c r="D51" s="59">
        <v>107</v>
      </c>
      <c r="E51" s="59">
        <v>101</v>
      </c>
      <c r="F51" s="59">
        <v>93</v>
      </c>
      <c r="G51" s="59">
        <v>109</v>
      </c>
      <c r="H51" s="59">
        <v>118</v>
      </c>
      <c r="I51" s="59">
        <v>116</v>
      </c>
      <c r="J51" s="59">
        <v>119</v>
      </c>
      <c r="K51" s="59">
        <v>108</v>
      </c>
      <c r="L51" s="59">
        <v>114</v>
      </c>
    </row>
    <row r="52" spans="2:12" x14ac:dyDescent="0.2">
      <c r="B52" s="58" t="s">
        <v>18</v>
      </c>
      <c r="C52" s="59">
        <v>58</v>
      </c>
      <c r="D52" s="59">
        <v>52</v>
      </c>
      <c r="E52" s="59">
        <v>58</v>
      </c>
      <c r="F52" s="59">
        <v>57</v>
      </c>
      <c r="G52" s="59">
        <v>55</v>
      </c>
      <c r="H52" s="59">
        <v>66</v>
      </c>
      <c r="I52" s="59">
        <v>75</v>
      </c>
      <c r="J52" s="59">
        <v>60</v>
      </c>
      <c r="K52" s="59">
        <v>47</v>
      </c>
      <c r="L52" s="59">
        <v>49</v>
      </c>
    </row>
    <row r="53" spans="2:12" x14ac:dyDescent="0.2">
      <c r="B53" s="58" t="s">
        <v>19</v>
      </c>
      <c r="C53" s="59">
        <v>162</v>
      </c>
      <c r="D53" s="59">
        <v>158</v>
      </c>
      <c r="E53" s="59">
        <v>156</v>
      </c>
      <c r="F53" s="59">
        <v>145</v>
      </c>
      <c r="G53" s="59">
        <v>141</v>
      </c>
      <c r="H53" s="59">
        <v>145</v>
      </c>
      <c r="I53" s="59">
        <v>149</v>
      </c>
      <c r="J53" s="59">
        <v>137</v>
      </c>
      <c r="K53" s="59">
        <v>141</v>
      </c>
      <c r="L53" s="59">
        <v>135</v>
      </c>
    </row>
    <row r="54" spans="2:12" x14ac:dyDescent="0.2">
      <c r="B54" s="58" t="s">
        <v>20</v>
      </c>
      <c r="C54" s="59">
        <v>114</v>
      </c>
      <c r="D54" s="59">
        <v>116</v>
      </c>
      <c r="E54" s="59">
        <v>125</v>
      </c>
      <c r="F54" s="59">
        <v>113</v>
      </c>
      <c r="G54" s="59">
        <v>98</v>
      </c>
      <c r="H54" s="59">
        <v>102</v>
      </c>
      <c r="I54" s="59">
        <v>92</v>
      </c>
      <c r="J54" s="59">
        <v>110</v>
      </c>
      <c r="K54" s="59">
        <v>134</v>
      </c>
      <c r="L54" s="59">
        <v>149</v>
      </c>
    </row>
    <row r="55" spans="2:12" x14ac:dyDescent="0.2">
      <c r="B55" s="58" t="s">
        <v>21</v>
      </c>
      <c r="C55" s="59">
        <v>42</v>
      </c>
      <c r="D55" s="59">
        <v>40</v>
      </c>
      <c r="E55" s="59">
        <v>43</v>
      </c>
      <c r="F55" s="59">
        <v>46</v>
      </c>
      <c r="G55" s="59">
        <v>47</v>
      </c>
      <c r="H55" s="59">
        <v>43</v>
      </c>
      <c r="I55" s="59">
        <v>50</v>
      </c>
      <c r="J55" s="59">
        <v>48</v>
      </c>
      <c r="K55" s="59">
        <v>53</v>
      </c>
      <c r="L55" s="59">
        <v>39</v>
      </c>
    </row>
    <row r="56" spans="2:12" x14ac:dyDescent="0.2">
      <c r="B56" s="58" t="s">
        <v>22</v>
      </c>
      <c r="C56" s="59">
        <v>28</v>
      </c>
      <c r="D56" s="59">
        <v>33</v>
      </c>
      <c r="E56" s="59">
        <v>39</v>
      </c>
      <c r="F56" s="59">
        <v>38</v>
      </c>
      <c r="G56" s="59">
        <v>26</v>
      </c>
      <c r="H56" s="59">
        <v>23</v>
      </c>
      <c r="I56" s="59">
        <v>19</v>
      </c>
      <c r="J56" s="59">
        <v>15</v>
      </c>
      <c r="K56" s="59">
        <v>10</v>
      </c>
      <c r="L56" s="59">
        <v>11</v>
      </c>
    </row>
    <row r="57" spans="2:12" x14ac:dyDescent="0.2">
      <c r="B57" s="58" t="s">
        <v>23</v>
      </c>
      <c r="C57" s="59">
        <v>121</v>
      </c>
      <c r="D57" s="59">
        <v>141</v>
      </c>
      <c r="E57" s="59">
        <v>164</v>
      </c>
      <c r="F57" s="59">
        <v>183</v>
      </c>
      <c r="G57" s="59">
        <v>178</v>
      </c>
      <c r="H57" s="59">
        <v>200</v>
      </c>
      <c r="I57" s="59">
        <v>210</v>
      </c>
      <c r="J57" s="59">
        <v>190</v>
      </c>
      <c r="K57" s="59">
        <v>206</v>
      </c>
      <c r="L57" s="59">
        <v>243</v>
      </c>
    </row>
    <row r="58" spans="2:12" x14ac:dyDescent="0.2">
      <c r="B58" s="58" t="s">
        <v>24</v>
      </c>
      <c r="C58" s="59">
        <v>107</v>
      </c>
      <c r="D58" s="59">
        <v>85</v>
      </c>
      <c r="E58" s="59">
        <v>84</v>
      </c>
      <c r="F58" s="59">
        <v>92</v>
      </c>
      <c r="G58" s="59">
        <v>102</v>
      </c>
      <c r="H58" s="59">
        <v>99</v>
      </c>
      <c r="I58" s="59">
        <v>107</v>
      </c>
      <c r="J58" s="59">
        <v>101</v>
      </c>
      <c r="K58" s="59">
        <v>97</v>
      </c>
      <c r="L58" s="59">
        <v>91</v>
      </c>
    </row>
    <row r="59" spans="2:12" x14ac:dyDescent="0.2">
      <c r="B59" s="58" t="s">
        <v>25</v>
      </c>
      <c r="C59" s="59">
        <v>51</v>
      </c>
      <c r="D59" s="59">
        <v>51</v>
      </c>
      <c r="E59" s="59">
        <v>39</v>
      </c>
      <c r="F59" s="59">
        <v>41</v>
      </c>
      <c r="G59" s="59">
        <v>57</v>
      </c>
      <c r="H59" s="59">
        <v>64</v>
      </c>
      <c r="I59" s="59">
        <v>68</v>
      </c>
      <c r="J59" s="59">
        <v>78</v>
      </c>
      <c r="K59" s="59">
        <v>85</v>
      </c>
      <c r="L59" s="59">
        <v>95</v>
      </c>
    </row>
    <row r="60" spans="2:12" x14ac:dyDescent="0.2">
      <c r="B60" s="61" t="s">
        <v>26</v>
      </c>
      <c r="C60" s="62">
        <v>303</v>
      </c>
      <c r="D60" s="62">
        <v>297</v>
      </c>
      <c r="E60" s="62">
        <v>309</v>
      </c>
      <c r="F60" s="62">
        <v>349</v>
      </c>
      <c r="G60" s="62">
        <v>356</v>
      </c>
      <c r="H60" s="62">
        <v>368</v>
      </c>
      <c r="I60" s="62">
        <v>387</v>
      </c>
      <c r="J60" s="62">
        <v>440</v>
      </c>
      <c r="K60" s="62">
        <v>452</v>
      </c>
      <c r="L60" s="62">
        <v>466</v>
      </c>
    </row>
    <row r="61" spans="2:12" x14ac:dyDescent="0.2">
      <c r="B61" s="20" t="s">
        <v>27</v>
      </c>
      <c r="C61" s="21">
        <f>SUBTOTAL(109,'Ethnic Enrollment'!$C$47:$C$60)</f>
        <v>1293</v>
      </c>
      <c r="D61" s="21">
        <f>SUBTOTAL(109,'Ethnic Enrollment'!$D$47:$D$60)</f>
        <v>1272</v>
      </c>
      <c r="E61" s="21">
        <f>SUBTOTAL(109,'Ethnic Enrollment'!$E$47:$E$60)</f>
        <v>1291</v>
      </c>
      <c r="F61" s="21">
        <f>SUBTOTAL(109,'Ethnic Enrollment'!$F$47:$F$60)</f>
        <v>1347</v>
      </c>
      <c r="G61" s="21">
        <f>SUBTOTAL(109,'Ethnic Enrollment'!$G$47:$G$60)</f>
        <v>1389</v>
      </c>
      <c r="H61" s="21">
        <f>SUBTOTAL(109,'Ethnic Enrollment'!$H$47:$H$60)</f>
        <v>1441</v>
      </c>
      <c r="I61" s="21">
        <f>SUBTOTAL(109,'Ethnic Enrollment'!$I$47:$I$60)</f>
        <v>1502</v>
      </c>
      <c r="J61" s="21">
        <f>SUBTOTAL(109,'Ethnic Enrollment'!$J$47:$J$60)</f>
        <v>1544</v>
      </c>
      <c r="K61" s="21">
        <f>SUBTOTAL(109,'Ethnic Enrollment'!$K$47:$K$60)</f>
        <v>1586</v>
      </c>
      <c r="L61" s="21">
        <f>SUBTOTAL(109,'Ethnic Enrollment'!$L$47:$L$60)</f>
        <v>1622</v>
      </c>
    </row>
    <row r="64" spans="2:12" ht="15" x14ac:dyDescent="0.2">
      <c r="B64" s="127" t="s">
        <v>70</v>
      </c>
      <c r="C64" s="127"/>
      <c r="D64" s="127"/>
      <c r="E64" s="127"/>
      <c r="F64" s="127"/>
      <c r="G64" s="127"/>
      <c r="H64" s="127"/>
      <c r="I64" s="127"/>
      <c r="J64" s="127"/>
      <c r="K64" s="127"/>
      <c r="L64" s="127"/>
    </row>
    <row r="65" spans="2:12" s="14" customFormat="1" ht="30.95" customHeight="1" x14ac:dyDescent="0.25">
      <c r="B65" s="52" t="s">
        <v>1</v>
      </c>
      <c r="C65" s="52" t="str">
        <f>CONCATENATE(IF(RIGHT(Parameters!B1,1) = "1","Fall ", "Spring "),IF(RIGHT(Parameters!B1,1) = "1",LEFT(Parameters!B1,4) -9, LEFT(Parameters!B1,4) - 8))</f>
        <v>Fall 2010</v>
      </c>
      <c r="D65" s="52" t="str">
        <f>CONCATENATE(IF(RIGHT(Parameters!B1,1) = "1","Fall ", "Spring "),IF(RIGHT(Parameters!B1,1) = "1",LEFT(Parameters!B1,4) -8, LEFT(Parameters!B1,4) - 7))</f>
        <v>Fall 2011</v>
      </c>
      <c r="E65" s="52" t="str">
        <f>CONCATENATE(IF(RIGHT(Parameters!B1,1) = "1","Fall ", "Spring "),IF(RIGHT(Parameters!B1,1) = "1",LEFT(Parameters!B1,4) -7, LEFT(Parameters!B1,4) - 6))</f>
        <v>Fall 2012</v>
      </c>
      <c r="F65" s="52" t="str">
        <f>CONCATENATE(IF(RIGHT(Parameters!B1,1) = "1","Fall ", "Spring "),IF(RIGHT(Parameters!B1,1) = "1",LEFT(Parameters!B1,4) -6, LEFT(Parameters!B1,4) - 5))</f>
        <v>Fall 2013</v>
      </c>
      <c r="G65" s="52" t="str">
        <f>CONCATENATE(IF(RIGHT(Parameters!B1,1) = "1","Fall ", "Spring "),IF(RIGHT(Parameters!B1,1) = "1",LEFT(Parameters!B1,4) -5, LEFT(Parameters!B1,4) - 4))</f>
        <v>Fall 2014</v>
      </c>
      <c r="H65" s="52" t="str">
        <f>CONCATENATE(IF(RIGHT(Parameters!B1,1) = "1","Fall ", "Spring "),IF(RIGHT(Parameters!B1,1) = "1",LEFT(Parameters!B1,4) -4, LEFT(Parameters!B1,4) - 3))</f>
        <v>Fall 2015</v>
      </c>
      <c r="I65" s="52" t="str">
        <f>CONCATENATE(IF(RIGHT(Parameters!B1,1) = "1","Fall ", "Spring "),IF(RIGHT(Parameters!B1,1) = "1",LEFT(Parameters!B1,4) -3, LEFT(Parameters!B1,4) - 2))</f>
        <v>Fall 2016</v>
      </c>
      <c r="J65" s="52" t="str">
        <f>CONCATENATE(IF(RIGHT(Parameters!B1,1) = "1","Fall ", "Spring "),IF(RIGHT(Parameters!B1,1) = "1",LEFT(Parameters!B1,4) -2, LEFT(Parameters!B1,4) - 1))</f>
        <v>Fall 2017</v>
      </c>
      <c r="K65" s="52" t="str">
        <f>CONCATENATE(IF(RIGHT(Parameters!B1,1) = "1","Fall ", "Spring "),IF(RIGHT(Parameters!B1,1) = "1",LEFT(Parameters!B1,4) -1, LEFT(Parameters!B1,4) ))</f>
        <v>Fall 2018</v>
      </c>
      <c r="L65" s="52" t="str">
        <f>CONCATENATE(IF(RIGHT(Parameters!B1,1) = "1","Fall ", "Spring "),IF(RIGHT(Parameters!B1,1) = "1",LEFT(Parameters!B1,4), LEFT(Parameters!B1,4) + 1))</f>
        <v>Fall 2019</v>
      </c>
    </row>
    <row r="66" spans="2:12" ht="16.5" hidden="1" customHeight="1" x14ac:dyDescent="0.2">
      <c r="B66" s="26" t="s">
        <v>2</v>
      </c>
      <c r="C66" s="26" t="s">
        <v>3</v>
      </c>
      <c r="D66" s="26" t="s">
        <v>4</v>
      </c>
      <c r="E66" s="26" t="s">
        <v>5</v>
      </c>
      <c r="F66" s="26" t="s">
        <v>6</v>
      </c>
      <c r="G66" s="26" t="s">
        <v>7</v>
      </c>
      <c r="H66" s="26" t="s">
        <v>8</v>
      </c>
      <c r="I66" s="26" t="s">
        <v>9</v>
      </c>
      <c r="J66" s="26" t="s">
        <v>10</v>
      </c>
      <c r="K66" s="26" t="s">
        <v>11</v>
      </c>
      <c r="L66" s="26" t="s">
        <v>12</v>
      </c>
    </row>
    <row r="67" spans="2:12" x14ac:dyDescent="0.2">
      <c r="B67" s="56" t="s">
        <v>13</v>
      </c>
      <c r="C67" s="57">
        <v>4</v>
      </c>
      <c r="D67" s="57">
        <v>7</v>
      </c>
      <c r="E67" s="57">
        <v>6</v>
      </c>
      <c r="F67" s="57">
        <v>8</v>
      </c>
      <c r="G67" s="57">
        <v>11</v>
      </c>
      <c r="H67" s="57">
        <v>9</v>
      </c>
      <c r="I67" s="57">
        <v>9</v>
      </c>
      <c r="J67" s="57">
        <v>9</v>
      </c>
      <c r="K67" s="57">
        <v>5</v>
      </c>
      <c r="L67" s="57">
        <v>4</v>
      </c>
    </row>
    <row r="68" spans="2:12" x14ac:dyDescent="0.2">
      <c r="B68" s="58" t="s">
        <v>14</v>
      </c>
      <c r="C68" s="59">
        <v>0</v>
      </c>
      <c r="D68" s="59">
        <v>5</v>
      </c>
      <c r="E68" s="59">
        <v>8</v>
      </c>
      <c r="F68" s="59">
        <v>9</v>
      </c>
      <c r="G68" s="59">
        <v>10</v>
      </c>
      <c r="H68" s="59">
        <v>12</v>
      </c>
      <c r="I68" s="59">
        <v>7</v>
      </c>
      <c r="J68" s="59">
        <v>11</v>
      </c>
      <c r="K68" s="59">
        <v>10</v>
      </c>
      <c r="L68" s="59">
        <v>5</v>
      </c>
    </row>
    <row r="69" spans="2:12" x14ac:dyDescent="0.2">
      <c r="B69" s="58" t="s">
        <v>15</v>
      </c>
      <c r="C69" s="59">
        <v>0</v>
      </c>
      <c r="D69" s="59">
        <v>1</v>
      </c>
      <c r="E69" s="59">
        <v>0</v>
      </c>
      <c r="F69" s="59">
        <v>1</v>
      </c>
      <c r="G69" s="59">
        <v>1</v>
      </c>
      <c r="H69" s="59">
        <v>1</v>
      </c>
      <c r="I69" s="59">
        <v>0</v>
      </c>
      <c r="J69" s="59">
        <v>0</v>
      </c>
      <c r="K69" s="59">
        <v>0</v>
      </c>
      <c r="L69" s="59">
        <v>0</v>
      </c>
    </row>
    <row r="70" spans="2:12" x14ac:dyDescent="0.2">
      <c r="B70" s="58" t="s">
        <v>16</v>
      </c>
      <c r="C70" s="59">
        <v>1</v>
      </c>
      <c r="D70" s="59">
        <v>5</v>
      </c>
      <c r="E70" s="59">
        <v>5</v>
      </c>
      <c r="F70" s="59">
        <v>5</v>
      </c>
      <c r="G70" s="59">
        <v>5</v>
      </c>
      <c r="H70" s="59">
        <v>4</v>
      </c>
      <c r="I70" s="59">
        <v>7</v>
      </c>
      <c r="J70" s="59">
        <v>4</v>
      </c>
      <c r="K70" s="59">
        <v>5</v>
      </c>
      <c r="L70" s="59">
        <v>7</v>
      </c>
    </row>
    <row r="71" spans="2:12" x14ac:dyDescent="0.2">
      <c r="B71" s="58" t="s">
        <v>17</v>
      </c>
      <c r="C71" s="59">
        <v>7</v>
      </c>
      <c r="D71" s="59">
        <v>28</v>
      </c>
      <c r="E71" s="59">
        <v>26</v>
      </c>
      <c r="F71" s="59">
        <v>20</v>
      </c>
      <c r="G71" s="59">
        <v>10</v>
      </c>
      <c r="H71" s="59">
        <v>10</v>
      </c>
      <c r="I71" s="59">
        <v>8</v>
      </c>
      <c r="J71" s="59">
        <v>8</v>
      </c>
      <c r="K71" s="59">
        <v>10</v>
      </c>
      <c r="L71" s="59">
        <v>11</v>
      </c>
    </row>
    <row r="72" spans="2:12" x14ac:dyDescent="0.2">
      <c r="B72" s="58" t="s">
        <v>18</v>
      </c>
      <c r="C72" s="59">
        <v>11</v>
      </c>
      <c r="D72" s="59">
        <v>11</v>
      </c>
      <c r="E72" s="59">
        <v>7</v>
      </c>
      <c r="F72" s="59">
        <v>3</v>
      </c>
      <c r="G72" s="59">
        <v>5</v>
      </c>
      <c r="H72" s="59">
        <v>1</v>
      </c>
      <c r="I72" s="59">
        <v>1</v>
      </c>
      <c r="J72" s="59">
        <v>5</v>
      </c>
      <c r="K72" s="59">
        <v>6</v>
      </c>
      <c r="L72" s="59">
        <v>2</v>
      </c>
    </row>
    <row r="73" spans="2:12" x14ac:dyDescent="0.2">
      <c r="B73" s="58" t="s">
        <v>19</v>
      </c>
      <c r="C73" s="59">
        <v>2</v>
      </c>
      <c r="D73" s="59">
        <v>2</v>
      </c>
      <c r="E73" s="59">
        <v>2</v>
      </c>
      <c r="F73" s="59">
        <v>4</v>
      </c>
      <c r="G73" s="59">
        <v>5</v>
      </c>
      <c r="H73" s="59">
        <v>4</v>
      </c>
      <c r="I73" s="59">
        <v>5</v>
      </c>
      <c r="J73" s="59">
        <v>3</v>
      </c>
      <c r="K73" s="59">
        <v>3</v>
      </c>
      <c r="L73" s="59">
        <v>2</v>
      </c>
    </row>
    <row r="74" spans="2:12" x14ac:dyDescent="0.2">
      <c r="B74" s="58" t="s">
        <v>20</v>
      </c>
      <c r="C74" s="59">
        <v>2</v>
      </c>
      <c r="D74" s="59">
        <v>2</v>
      </c>
      <c r="E74" s="59">
        <v>5</v>
      </c>
      <c r="F74" s="59">
        <v>10</v>
      </c>
      <c r="G74" s="59">
        <v>15</v>
      </c>
      <c r="H74" s="59">
        <v>15</v>
      </c>
      <c r="I74" s="59">
        <v>8</v>
      </c>
      <c r="J74" s="59">
        <v>8</v>
      </c>
      <c r="K74" s="59">
        <v>8</v>
      </c>
      <c r="L74" s="59">
        <v>5</v>
      </c>
    </row>
    <row r="75" spans="2:12" x14ac:dyDescent="0.2">
      <c r="B75" s="58" t="s">
        <v>21</v>
      </c>
      <c r="C75" s="59">
        <v>1</v>
      </c>
      <c r="D75" s="59">
        <v>0</v>
      </c>
      <c r="E75" s="59">
        <v>1</v>
      </c>
      <c r="F75" s="59">
        <v>0</v>
      </c>
      <c r="G75" s="59">
        <v>0</v>
      </c>
      <c r="H75" s="59">
        <v>0</v>
      </c>
      <c r="I75" s="59">
        <v>0</v>
      </c>
      <c r="J75" s="59">
        <v>2</v>
      </c>
      <c r="K75" s="59">
        <v>1</v>
      </c>
      <c r="L75" s="59">
        <v>4</v>
      </c>
    </row>
    <row r="76" spans="2:12" x14ac:dyDescent="0.2">
      <c r="B76" s="58" t="s">
        <v>22</v>
      </c>
      <c r="C76" s="59">
        <v>2</v>
      </c>
      <c r="D76" s="59">
        <v>2</v>
      </c>
      <c r="E76" s="59">
        <v>3</v>
      </c>
      <c r="F76" s="59">
        <v>3</v>
      </c>
      <c r="G76" s="59">
        <v>2</v>
      </c>
      <c r="H76" s="59">
        <v>1</v>
      </c>
      <c r="I76" s="59">
        <v>1</v>
      </c>
      <c r="J76" s="59">
        <v>1</v>
      </c>
      <c r="K76" s="59">
        <v>2</v>
      </c>
      <c r="L76" s="59">
        <v>2</v>
      </c>
    </row>
    <row r="77" spans="2:12" x14ac:dyDescent="0.2">
      <c r="B77" s="58" t="s">
        <v>23</v>
      </c>
      <c r="C77" s="59">
        <v>6</v>
      </c>
      <c r="D77" s="59">
        <v>10</v>
      </c>
      <c r="E77" s="59">
        <v>9</v>
      </c>
      <c r="F77" s="59">
        <v>8</v>
      </c>
      <c r="G77" s="59">
        <v>7</v>
      </c>
      <c r="H77" s="59">
        <v>8</v>
      </c>
      <c r="I77" s="59">
        <v>9</v>
      </c>
      <c r="J77" s="59">
        <v>10</v>
      </c>
      <c r="K77" s="59">
        <v>4</v>
      </c>
      <c r="L77" s="59">
        <v>2</v>
      </c>
    </row>
    <row r="78" spans="2:12" x14ac:dyDescent="0.2">
      <c r="B78" s="58" t="s">
        <v>24</v>
      </c>
      <c r="C78" s="59">
        <v>6</v>
      </c>
      <c r="D78" s="59">
        <v>8</v>
      </c>
      <c r="E78" s="59">
        <v>6</v>
      </c>
      <c r="F78" s="59">
        <v>6</v>
      </c>
      <c r="G78" s="59">
        <v>7</v>
      </c>
      <c r="H78" s="59">
        <v>7</v>
      </c>
      <c r="I78" s="59">
        <v>4</v>
      </c>
      <c r="J78" s="59">
        <v>2</v>
      </c>
      <c r="K78" s="59">
        <v>2</v>
      </c>
      <c r="L78" s="59">
        <v>0</v>
      </c>
    </row>
    <row r="79" spans="2:12" x14ac:dyDescent="0.2">
      <c r="B79" s="58" t="s">
        <v>25</v>
      </c>
      <c r="C79" s="59">
        <v>0</v>
      </c>
      <c r="D79" s="59">
        <v>1</v>
      </c>
      <c r="E79" s="59">
        <v>2</v>
      </c>
      <c r="F79" s="59">
        <v>3</v>
      </c>
      <c r="G79" s="59">
        <v>5</v>
      </c>
      <c r="H79" s="59">
        <v>6</v>
      </c>
      <c r="I79" s="59">
        <v>8</v>
      </c>
      <c r="J79" s="59">
        <v>9</v>
      </c>
      <c r="K79" s="59">
        <v>5</v>
      </c>
      <c r="L79" s="59">
        <v>4</v>
      </c>
    </row>
    <row r="80" spans="2:12" x14ac:dyDescent="0.2">
      <c r="B80" s="61" t="s">
        <v>26</v>
      </c>
      <c r="C80" s="62">
        <v>5</v>
      </c>
      <c r="D80" s="62">
        <v>4</v>
      </c>
      <c r="E80" s="62">
        <v>8</v>
      </c>
      <c r="F80" s="62">
        <v>9</v>
      </c>
      <c r="G80" s="62">
        <v>17</v>
      </c>
      <c r="H80" s="62">
        <v>17</v>
      </c>
      <c r="I80" s="62">
        <v>18</v>
      </c>
      <c r="J80" s="62">
        <v>14</v>
      </c>
      <c r="K80" s="62">
        <v>9</v>
      </c>
      <c r="L80" s="62">
        <v>12</v>
      </c>
    </row>
    <row r="81" spans="2:12" x14ac:dyDescent="0.2">
      <c r="B81" s="20" t="s">
        <v>27</v>
      </c>
      <c r="C81" s="21">
        <f>SUBTOTAL(109,'Ethnic Enrollment'!$C$67:$C$80)</f>
        <v>47</v>
      </c>
      <c r="D81" s="21">
        <f>SUBTOTAL(109,'Ethnic Enrollment'!$D$67:$D$80)</f>
        <v>86</v>
      </c>
      <c r="E81" s="21">
        <f>SUBTOTAL(109,'Ethnic Enrollment'!$E$67:$E$80)</f>
        <v>88</v>
      </c>
      <c r="F81" s="21">
        <f>SUBTOTAL(109,'Ethnic Enrollment'!$F$67:$F$80)</f>
        <v>89</v>
      </c>
      <c r="G81" s="21">
        <f>SUBTOTAL(109,'Ethnic Enrollment'!$G$67:$G$80)</f>
        <v>100</v>
      </c>
      <c r="H81" s="21">
        <f>SUBTOTAL(109,'Ethnic Enrollment'!$H$67:$H$80)</f>
        <v>95</v>
      </c>
      <c r="I81" s="21">
        <f>SUBTOTAL(109,'Ethnic Enrollment'!$I$67:$I$80)</f>
        <v>85</v>
      </c>
      <c r="J81" s="21">
        <f>SUBTOTAL(109,'Ethnic Enrollment'!$J$67:$J$80)</f>
        <v>86</v>
      </c>
      <c r="K81" s="21">
        <f>SUBTOTAL(109,'Ethnic Enrollment'!$K$67:$K$80)</f>
        <v>70</v>
      </c>
      <c r="L81" s="21">
        <f>SUBTOTAL(109,'Ethnic Enrollment'!$L$67:$L$80)</f>
        <v>60</v>
      </c>
    </row>
    <row r="84" spans="2:12" ht="15" x14ac:dyDescent="0.2">
      <c r="B84" s="127" t="s">
        <v>71</v>
      </c>
      <c r="C84" s="127"/>
      <c r="D84" s="127"/>
      <c r="E84" s="127"/>
      <c r="F84" s="127"/>
      <c r="G84" s="127"/>
      <c r="H84" s="127"/>
      <c r="I84" s="127"/>
      <c r="J84" s="127"/>
      <c r="K84" s="127"/>
      <c r="L84" s="127"/>
    </row>
    <row r="85" spans="2:12" s="14" customFormat="1" ht="30.95" customHeight="1" x14ac:dyDescent="0.25">
      <c r="B85" s="52" t="s">
        <v>1</v>
      </c>
      <c r="C85" s="52" t="str">
        <f>CONCATENATE(IF(RIGHT(Parameters!B1,1) = "1","Fall ", "Spring "),IF(RIGHT(Parameters!B1,1) = "1",LEFT(Parameters!B1,4) -9, LEFT(Parameters!B1,4) - 8))</f>
        <v>Fall 2010</v>
      </c>
      <c r="D85" s="52" t="str">
        <f>CONCATENATE(IF(RIGHT(Parameters!B1,1) = "1","Fall ", "Spring "),IF(RIGHT(Parameters!B1,1) = "1",LEFT(Parameters!B1,4) -8, LEFT(Parameters!B1,4) - 7))</f>
        <v>Fall 2011</v>
      </c>
      <c r="E85" s="52" t="str">
        <f>CONCATENATE(IF(RIGHT(Parameters!B1,1) = "1","Fall ", "Spring "),IF(RIGHT(Parameters!B1,1) = "1",LEFT(Parameters!B1,4) -7, LEFT(Parameters!B1,4) - 6))</f>
        <v>Fall 2012</v>
      </c>
      <c r="F85" s="52" t="str">
        <f>CONCATENATE(IF(RIGHT(Parameters!B1,1) = "1","Fall ", "Spring "),IF(RIGHT(Parameters!B1,1) = "1",LEFT(Parameters!B1,4) -6, LEFT(Parameters!B1,4) - 5))</f>
        <v>Fall 2013</v>
      </c>
      <c r="G85" s="52" t="str">
        <f>CONCATENATE(IF(RIGHT(Parameters!B1,1) = "1","Fall ", "Spring "),IF(RIGHT(Parameters!B1,1) = "1",LEFT(Parameters!B1,4) -5, LEFT(Parameters!B1,4) - 4))</f>
        <v>Fall 2014</v>
      </c>
      <c r="H85" s="52" t="str">
        <f>CONCATENATE(IF(RIGHT(Parameters!B1,1) = "1","Fall ", "Spring "),IF(RIGHT(Parameters!B1,1) = "1",LEFT(Parameters!B1,4) -4, LEFT(Parameters!B1,4) - 3))</f>
        <v>Fall 2015</v>
      </c>
      <c r="I85" s="52" t="str">
        <f>CONCATENATE(IF(RIGHT(Parameters!B1,1) = "1","Fall ", "Spring "),IF(RIGHT(Parameters!B1,1) = "1",LEFT(Parameters!B1,4) -3, LEFT(Parameters!B1,4) - 2))</f>
        <v>Fall 2016</v>
      </c>
      <c r="J85" s="52" t="str">
        <f>CONCATENATE(IF(RIGHT(Parameters!B1,1) = "1","Fall ", "Spring "),IF(RIGHT(Parameters!B1,1) = "1",LEFT(Parameters!B1,4) -2, LEFT(Parameters!B1,4) - 1))</f>
        <v>Fall 2017</v>
      </c>
      <c r="K85" s="52" t="str">
        <f>CONCATENATE(IF(RIGHT(Parameters!B1,1) = "1","Fall ", "Spring "),IF(RIGHT(Parameters!B1,1) = "1",LEFT(Parameters!B1,4) -1, LEFT(Parameters!B1,4) ))</f>
        <v>Fall 2018</v>
      </c>
      <c r="L85" s="52" t="str">
        <f>CONCATENATE(IF(RIGHT(Parameters!B1,1) = "1","Fall ", "Spring "),IF(RIGHT(Parameters!B1,1) = "1",LEFT(Parameters!B1,4), LEFT(Parameters!B1,4) + 1))</f>
        <v>Fall 2019</v>
      </c>
    </row>
    <row r="86" spans="2:12" ht="16.5" hidden="1" customHeight="1" x14ac:dyDescent="0.2">
      <c r="B86" s="26" t="s">
        <v>2</v>
      </c>
      <c r="C86" s="26" t="s">
        <v>3</v>
      </c>
      <c r="D86" s="26" t="s">
        <v>4</v>
      </c>
      <c r="E86" s="26" t="s">
        <v>5</v>
      </c>
      <c r="F86" s="26" t="s">
        <v>6</v>
      </c>
      <c r="G86" s="26" t="s">
        <v>7</v>
      </c>
      <c r="H86" s="26" t="s">
        <v>8</v>
      </c>
      <c r="I86" s="26" t="s">
        <v>9</v>
      </c>
      <c r="J86" s="26" t="s">
        <v>10</v>
      </c>
      <c r="K86" s="26" t="s">
        <v>11</v>
      </c>
      <c r="L86" s="26" t="s">
        <v>12</v>
      </c>
    </row>
    <row r="87" spans="2:12" x14ac:dyDescent="0.2">
      <c r="B87" s="56" t="s">
        <v>13</v>
      </c>
      <c r="C87" s="57">
        <v>16</v>
      </c>
      <c r="D87" s="57">
        <v>11</v>
      </c>
      <c r="E87" s="57">
        <v>8</v>
      </c>
      <c r="F87" s="57">
        <v>8</v>
      </c>
      <c r="G87" s="57">
        <v>7</v>
      </c>
      <c r="H87" s="57">
        <v>9</v>
      </c>
      <c r="I87" s="57">
        <v>19</v>
      </c>
      <c r="J87" s="57">
        <v>20</v>
      </c>
      <c r="K87" s="57">
        <v>20</v>
      </c>
      <c r="L87" s="57">
        <v>26</v>
      </c>
    </row>
    <row r="88" spans="2:12" x14ac:dyDescent="0.2">
      <c r="B88" s="58" t="s">
        <v>14</v>
      </c>
      <c r="C88" s="59">
        <v>47</v>
      </c>
      <c r="D88" s="59">
        <v>11</v>
      </c>
      <c r="E88" s="59">
        <v>14</v>
      </c>
      <c r="F88" s="59">
        <v>12</v>
      </c>
      <c r="G88" s="59">
        <v>11</v>
      </c>
      <c r="H88" s="59">
        <v>19</v>
      </c>
      <c r="I88" s="59">
        <v>15</v>
      </c>
      <c r="J88" s="59">
        <v>17</v>
      </c>
      <c r="K88" s="59">
        <v>15</v>
      </c>
      <c r="L88" s="59">
        <v>7</v>
      </c>
    </row>
    <row r="89" spans="2:12" x14ac:dyDescent="0.2">
      <c r="B89" s="58" t="s">
        <v>15</v>
      </c>
      <c r="C89" s="59">
        <v>0</v>
      </c>
      <c r="D89" s="59">
        <v>1</v>
      </c>
      <c r="E89" s="59">
        <v>0</v>
      </c>
      <c r="F89" s="59">
        <v>4</v>
      </c>
      <c r="G89" s="59">
        <v>1</v>
      </c>
      <c r="H89" s="59">
        <v>2</v>
      </c>
      <c r="I89" s="59">
        <v>2</v>
      </c>
      <c r="J89" s="59">
        <v>2</v>
      </c>
      <c r="K89" s="59">
        <v>2</v>
      </c>
      <c r="L89" s="59">
        <v>1</v>
      </c>
    </row>
    <row r="90" spans="2:12" x14ac:dyDescent="0.2">
      <c r="B90" s="58" t="s">
        <v>16</v>
      </c>
      <c r="C90" s="59">
        <v>22</v>
      </c>
      <c r="D90" s="59">
        <v>12</v>
      </c>
      <c r="E90" s="59">
        <v>9</v>
      </c>
      <c r="F90" s="59">
        <v>8</v>
      </c>
      <c r="G90" s="59">
        <v>9</v>
      </c>
      <c r="H90" s="59">
        <v>10</v>
      </c>
      <c r="I90" s="59">
        <v>8</v>
      </c>
      <c r="J90" s="59">
        <v>7</v>
      </c>
      <c r="K90" s="59">
        <v>10</v>
      </c>
      <c r="L90" s="59">
        <v>11</v>
      </c>
    </row>
    <row r="91" spans="2:12" x14ac:dyDescent="0.2">
      <c r="B91" s="58" t="s">
        <v>17</v>
      </c>
      <c r="C91" s="59">
        <v>18</v>
      </c>
      <c r="D91" s="59">
        <v>22</v>
      </c>
      <c r="E91" s="59">
        <v>14</v>
      </c>
      <c r="F91" s="59">
        <v>15</v>
      </c>
      <c r="G91" s="59">
        <v>11</v>
      </c>
      <c r="H91" s="59">
        <v>10</v>
      </c>
      <c r="I91" s="59">
        <v>10</v>
      </c>
      <c r="J91" s="59">
        <v>11</v>
      </c>
      <c r="K91" s="59">
        <v>15</v>
      </c>
      <c r="L91" s="59">
        <v>15</v>
      </c>
    </row>
    <row r="92" spans="2:12" x14ac:dyDescent="0.2">
      <c r="B92" s="58" t="s">
        <v>18</v>
      </c>
      <c r="C92" s="59">
        <v>26</v>
      </c>
      <c r="D92" s="59">
        <v>18</v>
      </c>
      <c r="E92" s="59">
        <v>19</v>
      </c>
      <c r="F92" s="59">
        <v>13</v>
      </c>
      <c r="G92" s="59">
        <v>13</v>
      </c>
      <c r="H92" s="59">
        <v>12</v>
      </c>
      <c r="I92" s="59">
        <v>11</v>
      </c>
      <c r="J92" s="59">
        <v>17</v>
      </c>
      <c r="K92" s="59">
        <v>15</v>
      </c>
      <c r="L92" s="59">
        <v>13</v>
      </c>
    </row>
    <row r="93" spans="2:12" x14ac:dyDescent="0.2">
      <c r="B93" s="58" t="s">
        <v>19</v>
      </c>
      <c r="C93" s="59">
        <v>35</v>
      </c>
      <c r="D93" s="59">
        <v>26</v>
      </c>
      <c r="E93" s="59">
        <v>19</v>
      </c>
      <c r="F93" s="59">
        <v>14</v>
      </c>
      <c r="G93" s="59">
        <v>19</v>
      </c>
      <c r="H93" s="59">
        <v>18</v>
      </c>
      <c r="I93" s="59">
        <v>12</v>
      </c>
      <c r="J93" s="59">
        <v>10</v>
      </c>
      <c r="K93" s="59">
        <v>12</v>
      </c>
      <c r="L93" s="59">
        <v>14</v>
      </c>
    </row>
    <row r="94" spans="2:12" x14ac:dyDescent="0.2">
      <c r="B94" s="58" t="s">
        <v>20</v>
      </c>
      <c r="C94" s="59">
        <v>32</v>
      </c>
      <c r="D94" s="59">
        <v>30</v>
      </c>
      <c r="E94" s="59">
        <v>19</v>
      </c>
      <c r="F94" s="59">
        <v>15</v>
      </c>
      <c r="G94" s="59">
        <v>14</v>
      </c>
      <c r="H94" s="59">
        <v>10</v>
      </c>
      <c r="I94" s="59">
        <v>11</v>
      </c>
      <c r="J94" s="59">
        <v>14</v>
      </c>
      <c r="K94" s="59">
        <v>15</v>
      </c>
      <c r="L94" s="59">
        <v>10</v>
      </c>
    </row>
    <row r="95" spans="2:12" x14ac:dyDescent="0.2">
      <c r="B95" s="58" t="s">
        <v>21</v>
      </c>
      <c r="C95" s="59">
        <v>9</v>
      </c>
      <c r="D95" s="59">
        <v>8</v>
      </c>
      <c r="E95" s="59">
        <v>18</v>
      </c>
      <c r="F95" s="59">
        <v>11</v>
      </c>
      <c r="G95" s="59">
        <v>10</v>
      </c>
      <c r="H95" s="59">
        <v>21</v>
      </c>
      <c r="I95" s="59">
        <v>18</v>
      </c>
      <c r="J95" s="59">
        <v>27</v>
      </c>
      <c r="K95" s="59">
        <v>24</v>
      </c>
      <c r="L95" s="59">
        <v>9</v>
      </c>
    </row>
    <row r="96" spans="2:12" x14ac:dyDescent="0.2">
      <c r="B96" s="58" t="s">
        <v>22</v>
      </c>
      <c r="C96" s="59">
        <v>22</v>
      </c>
      <c r="D96" s="59">
        <v>18</v>
      </c>
      <c r="E96" s="59">
        <v>17</v>
      </c>
      <c r="F96" s="59">
        <v>8</v>
      </c>
      <c r="G96" s="59">
        <v>9</v>
      </c>
      <c r="H96" s="59">
        <v>6</v>
      </c>
      <c r="I96" s="59">
        <v>2</v>
      </c>
      <c r="J96" s="59">
        <v>4</v>
      </c>
      <c r="K96" s="59">
        <v>4</v>
      </c>
      <c r="L96" s="59">
        <v>4</v>
      </c>
    </row>
    <row r="97" spans="2:12" x14ac:dyDescent="0.2">
      <c r="B97" s="58" t="s">
        <v>23</v>
      </c>
      <c r="C97" s="59">
        <v>17</v>
      </c>
      <c r="D97" s="59">
        <v>17</v>
      </c>
      <c r="E97" s="59">
        <v>15</v>
      </c>
      <c r="F97" s="59">
        <v>14</v>
      </c>
      <c r="G97" s="59">
        <v>16</v>
      </c>
      <c r="H97" s="59">
        <v>11</v>
      </c>
      <c r="I97" s="59">
        <v>17</v>
      </c>
      <c r="J97" s="59">
        <v>23</v>
      </c>
      <c r="K97" s="59">
        <v>26</v>
      </c>
      <c r="L97" s="59">
        <v>31</v>
      </c>
    </row>
    <row r="98" spans="2:12" x14ac:dyDescent="0.2">
      <c r="B98" s="58" t="s">
        <v>24</v>
      </c>
      <c r="C98" s="59">
        <v>14</v>
      </c>
      <c r="D98" s="59">
        <v>16</v>
      </c>
      <c r="E98" s="59">
        <v>15</v>
      </c>
      <c r="F98" s="59">
        <v>10</v>
      </c>
      <c r="G98" s="59">
        <v>11</v>
      </c>
      <c r="H98" s="59">
        <v>10</v>
      </c>
      <c r="I98" s="59">
        <v>10</v>
      </c>
      <c r="J98" s="59">
        <v>9</v>
      </c>
      <c r="K98" s="59">
        <v>7</v>
      </c>
      <c r="L98" s="59">
        <v>4</v>
      </c>
    </row>
    <row r="99" spans="2:12" x14ac:dyDescent="0.2">
      <c r="B99" s="58" t="s">
        <v>25</v>
      </c>
      <c r="C99" s="59">
        <v>14</v>
      </c>
      <c r="D99" s="59">
        <v>11</v>
      </c>
      <c r="E99" s="59">
        <v>10</v>
      </c>
      <c r="F99" s="59">
        <v>9</v>
      </c>
      <c r="G99" s="59">
        <v>13</v>
      </c>
      <c r="H99" s="59">
        <v>15</v>
      </c>
      <c r="I99" s="59">
        <v>18</v>
      </c>
      <c r="J99" s="59">
        <v>16</v>
      </c>
      <c r="K99" s="59">
        <v>18</v>
      </c>
      <c r="L99" s="59">
        <v>12</v>
      </c>
    </row>
    <row r="100" spans="2:12" x14ac:dyDescent="0.2">
      <c r="B100" s="61" t="s">
        <v>26</v>
      </c>
      <c r="C100" s="62">
        <v>41</v>
      </c>
      <c r="D100" s="62">
        <v>29</v>
      </c>
      <c r="E100" s="62">
        <v>23</v>
      </c>
      <c r="F100" s="62">
        <v>20</v>
      </c>
      <c r="G100" s="62">
        <v>18</v>
      </c>
      <c r="H100" s="62">
        <v>16</v>
      </c>
      <c r="I100" s="62">
        <v>15</v>
      </c>
      <c r="J100" s="62">
        <v>17</v>
      </c>
      <c r="K100" s="62">
        <v>22</v>
      </c>
      <c r="L100" s="62">
        <v>22</v>
      </c>
    </row>
    <row r="101" spans="2:12" x14ac:dyDescent="0.2">
      <c r="B101" s="20" t="s">
        <v>27</v>
      </c>
      <c r="C101" s="21">
        <f>SUBTOTAL(109,'Ethnic Enrollment'!$C$87:$C$100)</f>
        <v>313</v>
      </c>
      <c r="D101" s="21">
        <f>SUBTOTAL(109,'Ethnic Enrollment'!$D$87:$D$100)</f>
        <v>230</v>
      </c>
      <c r="E101" s="21">
        <f>SUBTOTAL(109,'Ethnic Enrollment'!$E$87:$E$100)</f>
        <v>200</v>
      </c>
      <c r="F101" s="21">
        <f>SUBTOTAL(109,'Ethnic Enrollment'!$F$87:$F$100)</f>
        <v>161</v>
      </c>
      <c r="G101" s="21">
        <f>SUBTOTAL(109,'Ethnic Enrollment'!$G$87:$G$100)</f>
        <v>162</v>
      </c>
      <c r="H101" s="21">
        <f>SUBTOTAL(109,'Ethnic Enrollment'!$H$87:$H$100)</f>
        <v>169</v>
      </c>
      <c r="I101" s="21">
        <f>SUBTOTAL(109,'Ethnic Enrollment'!$I$87:$I$100)</f>
        <v>168</v>
      </c>
      <c r="J101" s="21">
        <f>SUBTOTAL(109,'Ethnic Enrollment'!$J$87:$J$100)</f>
        <v>194</v>
      </c>
      <c r="K101" s="21">
        <f>SUBTOTAL(109,'Ethnic Enrollment'!$K$87:$K$100)</f>
        <v>205</v>
      </c>
      <c r="L101" s="21">
        <f>SUBTOTAL(109,'Ethnic Enrollment'!$L$87:$L$100)</f>
        <v>179</v>
      </c>
    </row>
    <row r="104" spans="2:12" ht="15" x14ac:dyDescent="0.2">
      <c r="B104" s="127" t="s">
        <v>72</v>
      </c>
      <c r="C104" s="127"/>
      <c r="D104" s="127"/>
      <c r="E104" s="127"/>
      <c r="F104" s="127"/>
      <c r="G104" s="127"/>
      <c r="H104" s="127"/>
      <c r="I104" s="127"/>
      <c r="J104" s="127"/>
      <c r="K104" s="127"/>
      <c r="L104" s="127"/>
    </row>
    <row r="105" spans="2:12" s="14" customFormat="1" ht="30.95" customHeight="1" x14ac:dyDescent="0.25">
      <c r="B105" s="52" t="s">
        <v>1</v>
      </c>
      <c r="C105" s="52" t="str">
        <f>CONCATENATE(IF(RIGHT(Parameters!B1,1) = "1","Fall ", "Spring "),IF(RIGHT(Parameters!B1,1) = "1",LEFT(Parameters!B1,4) -9, LEFT(Parameters!B1,4) - 8))</f>
        <v>Fall 2010</v>
      </c>
      <c r="D105" s="52" t="str">
        <f>CONCATENATE(IF(RIGHT(Parameters!B1,1) = "1","Fall ", "Spring "),IF(RIGHT(Parameters!B1,1) = "1",LEFT(Parameters!B1,4) -8, LEFT(Parameters!B1,4) - 7))</f>
        <v>Fall 2011</v>
      </c>
      <c r="E105" s="52" t="str">
        <f>CONCATENATE(IF(RIGHT(Parameters!B1,1) = "1","Fall ", "Spring "),IF(RIGHT(Parameters!B1,1) = "1",LEFT(Parameters!B1,4) -7, LEFT(Parameters!B1,4) - 6))</f>
        <v>Fall 2012</v>
      </c>
      <c r="F105" s="52" t="str">
        <f>CONCATENATE(IF(RIGHT(Parameters!B1,1) = "1","Fall ", "Spring "),IF(RIGHT(Parameters!B1,1) = "1",LEFT(Parameters!B1,4) -6, LEFT(Parameters!B1,4) - 5))</f>
        <v>Fall 2013</v>
      </c>
      <c r="G105" s="52" t="str">
        <f>CONCATENATE(IF(RIGHT(Parameters!B1,1) = "1","Fall ", "Spring "),IF(RIGHT(Parameters!B1,1) = "1",LEFT(Parameters!B1,4) -5, LEFT(Parameters!B1,4) - 4))</f>
        <v>Fall 2014</v>
      </c>
      <c r="H105" s="52" t="str">
        <f>CONCATENATE(IF(RIGHT(Parameters!B1,1) = "1","Fall ", "Spring "),IF(RIGHT(Parameters!B1,1) = "1",LEFT(Parameters!B1,4) -4, LEFT(Parameters!B1,4) - 3))</f>
        <v>Fall 2015</v>
      </c>
      <c r="I105" s="52" t="str">
        <f>CONCATENATE(IF(RIGHT(Parameters!B1,1) = "1","Fall ", "Spring "),IF(RIGHT(Parameters!B1,1) = "1",LEFT(Parameters!B1,4) -3, LEFT(Parameters!B1,4) - 2))</f>
        <v>Fall 2016</v>
      </c>
      <c r="J105" s="52" t="str">
        <f>CONCATENATE(IF(RIGHT(Parameters!B1,1) = "1","Fall ", "Spring "),IF(RIGHT(Parameters!B1,1) = "1",LEFT(Parameters!B1,4) -2, LEFT(Parameters!B1,4) - 1))</f>
        <v>Fall 2017</v>
      </c>
      <c r="K105" s="52" t="str">
        <f>CONCATENATE(IF(RIGHT(Parameters!B1,1) = "1","Fall ", "Spring "),IF(RIGHT(Parameters!B1,1) = "1",LEFT(Parameters!B1,4) -1, LEFT(Parameters!B1,4) ))</f>
        <v>Fall 2018</v>
      </c>
      <c r="L105" s="52" t="str">
        <f>CONCATENATE(IF(RIGHT(Parameters!B1,1) = "1","Fall ", "Spring "),IF(RIGHT(Parameters!B1,1) = "1",LEFT(Parameters!B1,4), LEFT(Parameters!B1,4) + 1))</f>
        <v>Fall 2019</v>
      </c>
    </row>
    <row r="106" spans="2:12" ht="16.5" hidden="1" customHeight="1" x14ac:dyDescent="0.2">
      <c r="B106" s="26" t="s">
        <v>2</v>
      </c>
      <c r="C106" s="26" t="s">
        <v>3</v>
      </c>
      <c r="D106" s="26" t="s">
        <v>4</v>
      </c>
      <c r="E106" s="26" t="s">
        <v>5</v>
      </c>
      <c r="F106" s="26" t="s">
        <v>6</v>
      </c>
      <c r="G106" s="26" t="s">
        <v>7</v>
      </c>
      <c r="H106" s="26" t="s">
        <v>8</v>
      </c>
      <c r="I106" s="26" t="s">
        <v>9</v>
      </c>
      <c r="J106" s="26" t="s">
        <v>10</v>
      </c>
      <c r="K106" s="26" t="s">
        <v>11</v>
      </c>
      <c r="L106" s="26" t="s">
        <v>12</v>
      </c>
    </row>
    <row r="107" spans="2:12" x14ac:dyDescent="0.2">
      <c r="B107" s="56" t="s">
        <v>13</v>
      </c>
      <c r="C107" s="57">
        <v>8264</v>
      </c>
      <c r="D107" s="57">
        <v>8367</v>
      </c>
      <c r="E107" s="57">
        <v>8163</v>
      </c>
      <c r="F107" s="57">
        <v>8270</v>
      </c>
      <c r="G107" s="57">
        <v>8125</v>
      </c>
      <c r="H107" s="57">
        <v>7844</v>
      </c>
      <c r="I107" s="57">
        <v>7699</v>
      </c>
      <c r="J107" s="57">
        <v>7351</v>
      </c>
      <c r="K107" s="57">
        <v>7022</v>
      </c>
      <c r="L107" s="57">
        <v>6771</v>
      </c>
    </row>
    <row r="108" spans="2:12" x14ac:dyDescent="0.2">
      <c r="B108" s="58" t="s">
        <v>14</v>
      </c>
      <c r="C108" s="59">
        <v>7729</v>
      </c>
      <c r="D108" s="59">
        <v>7237</v>
      </c>
      <c r="E108" s="59">
        <v>6729</v>
      </c>
      <c r="F108" s="59">
        <v>6380</v>
      </c>
      <c r="G108" s="59">
        <v>6165</v>
      </c>
      <c r="H108" s="59">
        <v>6096</v>
      </c>
      <c r="I108" s="59">
        <v>5842</v>
      </c>
      <c r="J108" s="59">
        <v>5781</v>
      </c>
      <c r="K108" s="59">
        <v>5480</v>
      </c>
      <c r="L108" s="59">
        <v>5223</v>
      </c>
    </row>
    <row r="109" spans="2:12" x14ac:dyDescent="0.2">
      <c r="B109" s="58" t="s">
        <v>15</v>
      </c>
      <c r="C109" s="59">
        <v>17</v>
      </c>
      <c r="D109" s="59">
        <v>4</v>
      </c>
      <c r="E109" s="59">
        <v>10</v>
      </c>
      <c r="F109" s="59">
        <v>14</v>
      </c>
      <c r="G109" s="59">
        <v>12</v>
      </c>
      <c r="H109" s="59">
        <v>13</v>
      </c>
      <c r="I109" s="59">
        <v>10</v>
      </c>
      <c r="J109" s="59">
        <v>14</v>
      </c>
      <c r="K109" s="59">
        <v>6</v>
      </c>
      <c r="L109" s="59">
        <v>3</v>
      </c>
    </row>
    <row r="110" spans="2:12" x14ac:dyDescent="0.2">
      <c r="B110" s="58" t="s">
        <v>16</v>
      </c>
      <c r="C110" s="59">
        <v>6397</v>
      </c>
      <c r="D110" s="59">
        <v>5949</v>
      </c>
      <c r="E110" s="59">
        <v>5609</v>
      </c>
      <c r="F110" s="59">
        <v>5161</v>
      </c>
      <c r="G110" s="59">
        <v>4750</v>
      </c>
      <c r="H110" s="59">
        <v>4452</v>
      </c>
      <c r="I110" s="59">
        <v>4394</v>
      </c>
      <c r="J110" s="59">
        <v>4314</v>
      </c>
      <c r="K110" s="59">
        <v>4048</v>
      </c>
      <c r="L110" s="59">
        <v>3855</v>
      </c>
    </row>
    <row r="111" spans="2:12" x14ac:dyDescent="0.2">
      <c r="B111" s="58" t="s">
        <v>17</v>
      </c>
      <c r="C111" s="59">
        <v>5650</v>
      </c>
      <c r="D111" s="59">
        <v>5050</v>
      </c>
      <c r="E111" s="59">
        <v>4453</v>
      </c>
      <c r="F111" s="59">
        <v>4332</v>
      </c>
      <c r="G111" s="59">
        <v>4437</v>
      </c>
      <c r="H111" s="59">
        <v>4567</v>
      </c>
      <c r="I111" s="59">
        <v>4470</v>
      </c>
      <c r="J111" s="59">
        <v>4235</v>
      </c>
      <c r="K111" s="59">
        <v>3871</v>
      </c>
      <c r="L111" s="59">
        <v>3626</v>
      </c>
    </row>
    <row r="112" spans="2:12" x14ac:dyDescent="0.2">
      <c r="B112" s="58" t="s">
        <v>18</v>
      </c>
      <c r="C112" s="59">
        <v>7676</v>
      </c>
      <c r="D112" s="59">
        <v>7270</v>
      </c>
      <c r="E112" s="59">
        <v>6479</v>
      </c>
      <c r="F112" s="59">
        <v>6066</v>
      </c>
      <c r="G112" s="59">
        <v>5680</v>
      </c>
      <c r="H112" s="59">
        <v>5406</v>
      </c>
      <c r="I112" s="59">
        <v>5066</v>
      </c>
      <c r="J112" s="59">
        <v>4563</v>
      </c>
      <c r="K112" s="59">
        <v>3969</v>
      </c>
      <c r="L112" s="59">
        <v>3855</v>
      </c>
    </row>
    <row r="113" spans="2:12" x14ac:dyDescent="0.2">
      <c r="B113" s="58" t="s">
        <v>19</v>
      </c>
      <c r="C113" s="59">
        <v>11746</v>
      </c>
      <c r="D113" s="59">
        <v>11869</v>
      </c>
      <c r="E113" s="59">
        <v>12060</v>
      </c>
      <c r="F113" s="59">
        <v>11354</v>
      </c>
      <c r="G113" s="59">
        <v>10887</v>
      </c>
      <c r="H113" s="59">
        <v>10234</v>
      </c>
      <c r="I113" s="59">
        <v>9487</v>
      </c>
      <c r="J113" s="59">
        <v>9059</v>
      </c>
      <c r="K113" s="59">
        <v>8324</v>
      </c>
      <c r="L113" s="59">
        <v>7677</v>
      </c>
    </row>
    <row r="114" spans="2:12" x14ac:dyDescent="0.2">
      <c r="B114" s="58" t="s">
        <v>20</v>
      </c>
      <c r="C114" s="59">
        <v>9055</v>
      </c>
      <c r="D114" s="59">
        <v>8436</v>
      </c>
      <c r="E114" s="59">
        <v>7948</v>
      </c>
      <c r="F114" s="59">
        <v>7739</v>
      </c>
      <c r="G114" s="59">
        <v>7261</v>
      </c>
      <c r="H114" s="59">
        <v>6968</v>
      </c>
      <c r="I114" s="59">
        <v>6622</v>
      </c>
      <c r="J114" s="59">
        <v>6380</v>
      </c>
      <c r="K114" s="59">
        <v>6265</v>
      </c>
      <c r="L114" s="59">
        <v>6135</v>
      </c>
    </row>
    <row r="115" spans="2:12" x14ac:dyDescent="0.2">
      <c r="B115" s="58" t="s">
        <v>21</v>
      </c>
      <c r="C115" s="59">
        <v>4802</v>
      </c>
      <c r="D115" s="59">
        <v>4759</v>
      </c>
      <c r="E115" s="59">
        <v>4654</v>
      </c>
      <c r="F115" s="59">
        <v>4567</v>
      </c>
      <c r="G115" s="59">
        <v>4189</v>
      </c>
      <c r="H115" s="59">
        <v>3903</v>
      </c>
      <c r="I115" s="59">
        <v>3556</v>
      </c>
      <c r="J115" s="59">
        <v>3133</v>
      </c>
      <c r="K115" s="59">
        <v>2887</v>
      </c>
      <c r="L115" s="59">
        <v>2641</v>
      </c>
    </row>
    <row r="116" spans="2:12" x14ac:dyDescent="0.2">
      <c r="B116" s="58" t="s">
        <v>22</v>
      </c>
      <c r="C116" s="59">
        <v>2755</v>
      </c>
      <c r="D116" s="59">
        <v>2648</v>
      </c>
      <c r="E116" s="59">
        <v>2510</v>
      </c>
      <c r="F116" s="59">
        <v>2409</v>
      </c>
      <c r="G116" s="59">
        <v>2253</v>
      </c>
      <c r="H116" s="59">
        <v>1970</v>
      </c>
      <c r="I116" s="59">
        <v>1803</v>
      </c>
      <c r="J116" s="59">
        <v>1539</v>
      </c>
      <c r="K116" s="59">
        <v>1306</v>
      </c>
      <c r="L116" s="59">
        <v>1288</v>
      </c>
    </row>
    <row r="117" spans="2:12" x14ac:dyDescent="0.2">
      <c r="B117" s="58" t="s">
        <v>23</v>
      </c>
      <c r="C117" s="59">
        <v>7321</v>
      </c>
      <c r="D117" s="59">
        <v>7208</v>
      </c>
      <c r="E117" s="59">
        <v>6754</v>
      </c>
      <c r="F117" s="59">
        <v>6539</v>
      </c>
      <c r="G117" s="59">
        <v>6240</v>
      </c>
      <c r="H117" s="59">
        <v>6169</v>
      </c>
      <c r="I117" s="59">
        <v>6074</v>
      </c>
      <c r="J117" s="59">
        <v>5800</v>
      </c>
      <c r="K117" s="59">
        <v>5846</v>
      </c>
      <c r="L117" s="59">
        <v>5827</v>
      </c>
    </row>
    <row r="118" spans="2:12" x14ac:dyDescent="0.2">
      <c r="B118" s="58" t="s">
        <v>24</v>
      </c>
      <c r="C118" s="59">
        <v>6886</v>
      </c>
      <c r="D118" s="59">
        <v>6769</v>
      </c>
      <c r="E118" s="59">
        <v>6287</v>
      </c>
      <c r="F118" s="59">
        <v>6029</v>
      </c>
      <c r="G118" s="59">
        <v>5804</v>
      </c>
      <c r="H118" s="59">
        <v>5508</v>
      </c>
      <c r="I118" s="59">
        <v>5378</v>
      </c>
      <c r="J118" s="59">
        <v>5072</v>
      </c>
      <c r="K118" s="59">
        <v>4869</v>
      </c>
      <c r="L118" s="59">
        <v>4565</v>
      </c>
    </row>
    <row r="119" spans="2:12" x14ac:dyDescent="0.2">
      <c r="B119" s="58" t="s">
        <v>25</v>
      </c>
      <c r="C119" s="59">
        <v>7579</v>
      </c>
      <c r="D119" s="59">
        <v>7466</v>
      </c>
      <c r="E119" s="59">
        <v>7338</v>
      </c>
      <c r="F119" s="59">
        <v>7197</v>
      </c>
      <c r="G119" s="59">
        <v>7314</v>
      </c>
      <c r="H119" s="59">
        <v>7428</v>
      </c>
      <c r="I119" s="59">
        <v>7659</v>
      </c>
      <c r="J119" s="59">
        <v>7636</v>
      </c>
      <c r="K119" s="59">
        <v>7550</v>
      </c>
      <c r="L119" s="59">
        <v>7526</v>
      </c>
    </row>
    <row r="120" spans="2:12" x14ac:dyDescent="0.2">
      <c r="B120" s="61" t="s">
        <v>26</v>
      </c>
      <c r="C120" s="62">
        <v>12131</v>
      </c>
      <c r="D120" s="62">
        <v>12468</v>
      </c>
      <c r="E120" s="62">
        <v>12546</v>
      </c>
      <c r="F120" s="62">
        <v>12778</v>
      </c>
      <c r="G120" s="62">
        <v>12709</v>
      </c>
      <c r="H120" s="62">
        <v>12864</v>
      </c>
      <c r="I120" s="62">
        <v>12982</v>
      </c>
      <c r="J120" s="62">
        <v>13095</v>
      </c>
      <c r="K120" s="62">
        <v>13116</v>
      </c>
      <c r="L120" s="62">
        <v>13027</v>
      </c>
    </row>
    <row r="121" spans="2:12" x14ac:dyDescent="0.2">
      <c r="B121" s="20" t="s">
        <v>27</v>
      </c>
      <c r="C121" s="21">
        <f>SUBTOTAL(109,'Ethnic Enrollment'!$C$107:$C$120)</f>
        <v>98008</v>
      </c>
      <c r="D121" s="21">
        <f>SUBTOTAL(109,'Ethnic Enrollment'!$D$107:$D$120)</f>
        <v>95500</v>
      </c>
      <c r="E121" s="21">
        <f>SUBTOTAL(109,'Ethnic Enrollment'!$E$107:$E$120)</f>
        <v>91540</v>
      </c>
      <c r="F121" s="21">
        <f>SUBTOTAL(109,'Ethnic Enrollment'!$F$107:$F$120)</f>
        <v>88835</v>
      </c>
      <c r="G121" s="21">
        <f>SUBTOTAL(109,'Ethnic Enrollment'!$G$107:$G$120)</f>
        <v>85826</v>
      </c>
      <c r="H121" s="21">
        <f>SUBTOTAL(109,'Ethnic Enrollment'!$H$107:$H$120)</f>
        <v>83422</v>
      </c>
      <c r="I121" s="21">
        <f>SUBTOTAL(109,'Ethnic Enrollment'!$I$107:$I$120)</f>
        <v>81042</v>
      </c>
      <c r="J121" s="21">
        <f>SUBTOTAL(109,'Ethnic Enrollment'!$J$107:$J$120)</f>
        <v>77972</v>
      </c>
      <c r="K121" s="21">
        <f>SUBTOTAL(109,'Ethnic Enrollment'!$K$107:$K$120)</f>
        <v>74559</v>
      </c>
      <c r="L121" s="21">
        <f>SUBTOTAL(109,'Ethnic Enrollment'!$L$107:$L$120)</f>
        <v>72019</v>
      </c>
    </row>
    <row r="124" spans="2:12" ht="15" x14ac:dyDescent="0.2">
      <c r="B124" s="127" t="s">
        <v>73</v>
      </c>
      <c r="C124" s="127"/>
      <c r="D124" s="127"/>
      <c r="E124" s="127"/>
      <c r="F124" s="127"/>
      <c r="G124" s="127"/>
      <c r="H124" s="127"/>
      <c r="I124" s="127"/>
      <c r="J124" s="127"/>
      <c r="K124" s="127"/>
      <c r="L124" s="127"/>
    </row>
    <row r="125" spans="2:12" s="14" customFormat="1" ht="30.95" customHeight="1" x14ac:dyDescent="0.25">
      <c r="B125" s="52" t="s">
        <v>1</v>
      </c>
      <c r="C125" s="52" t="str">
        <f>CONCATENATE(IF(RIGHT(Parameters!B1,1) = "1","Fall ", "Spring "),IF(RIGHT(Parameters!B1,1) = "1",LEFT(Parameters!B1,4) -9, LEFT(Parameters!B1,4) - 8))</f>
        <v>Fall 2010</v>
      </c>
      <c r="D125" s="52" t="str">
        <f>CONCATENATE(IF(RIGHT(Parameters!B1,1) = "1","Fall ", "Spring "),IF(RIGHT(Parameters!B1,1) = "1",LEFT(Parameters!B1,4) -8, LEFT(Parameters!B1,4) - 7))</f>
        <v>Fall 2011</v>
      </c>
      <c r="E125" s="52" t="str">
        <f>CONCATENATE(IF(RIGHT(Parameters!B1,1) = "1","Fall ", "Spring "),IF(RIGHT(Parameters!B1,1) = "1",LEFT(Parameters!B1,4) -7, LEFT(Parameters!B1,4) - 6))</f>
        <v>Fall 2012</v>
      </c>
      <c r="F125" s="52" t="str">
        <f>CONCATENATE(IF(RIGHT(Parameters!B1,1) = "1","Fall ", "Spring "),IF(RIGHT(Parameters!B1,1) = "1",LEFT(Parameters!B1,4) -6, LEFT(Parameters!B1,4) - 5))</f>
        <v>Fall 2013</v>
      </c>
      <c r="G125" s="52" t="str">
        <f>CONCATENATE(IF(RIGHT(Parameters!B1,1) = "1","Fall ", "Spring "),IF(RIGHT(Parameters!B1,1) = "1",LEFT(Parameters!B1,4) -5, LEFT(Parameters!B1,4) - 4))</f>
        <v>Fall 2014</v>
      </c>
      <c r="H125" s="52" t="str">
        <f>CONCATENATE(IF(RIGHT(Parameters!B1,1) = "1","Fall ", "Spring "),IF(RIGHT(Parameters!B1,1) = "1",LEFT(Parameters!B1,4) -4, LEFT(Parameters!B1,4) - 3))</f>
        <v>Fall 2015</v>
      </c>
      <c r="I125" s="52" t="str">
        <f>CONCATENATE(IF(RIGHT(Parameters!B1,1) = "1","Fall ", "Spring "),IF(RIGHT(Parameters!B1,1) = "1",LEFT(Parameters!B1,4) -3, LEFT(Parameters!B1,4) - 2))</f>
        <v>Fall 2016</v>
      </c>
      <c r="J125" s="52" t="str">
        <f>CONCATENATE(IF(RIGHT(Parameters!B1,1) = "1","Fall ", "Spring "),IF(RIGHT(Parameters!B1,1) = "1",LEFT(Parameters!B1,4) -2, LEFT(Parameters!B1,4) - 1))</f>
        <v>Fall 2017</v>
      </c>
      <c r="K125" s="52" t="str">
        <f>CONCATENATE(IF(RIGHT(Parameters!B1,1) = "1","Fall ", "Spring "),IF(RIGHT(Parameters!B1,1) = "1",LEFT(Parameters!B1,4) -1, LEFT(Parameters!B1,4) ))</f>
        <v>Fall 2018</v>
      </c>
      <c r="L125" s="52" t="str">
        <f>CONCATENATE(IF(RIGHT(Parameters!B1,1) = "1","Fall ", "Spring "),IF(RIGHT(Parameters!B1,1) = "1",LEFT(Parameters!B1,4), LEFT(Parameters!B1,4) + 1))</f>
        <v>Fall 2019</v>
      </c>
    </row>
    <row r="126" spans="2:12" ht="16.5" hidden="1" customHeight="1" x14ac:dyDescent="0.2">
      <c r="B126" s="26" t="s">
        <v>2</v>
      </c>
      <c r="C126" s="26" t="s">
        <v>3</v>
      </c>
      <c r="D126" s="26" t="s">
        <v>4</v>
      </c>
      <c r="E126" s="26" t="s">
        <v>5</v>
      </c>
      <c r="F126" s="26" t="s">
        <v>6</v>
      </c>
      <c r="G126" s="26" t="s">
        <v>7</v>
      </c>
      <c r="H126" s="26" t="s">
        <v>8</v>
      </c>
      <c r="I126" s="26" t="s">
        <v>9</v>
      </c>
      <c r="J126" s="26" t="s">
        <v>10</v>
      </c>
      <c r="K126" s="26" t="s">
        <v>11</v>
      </c>
      <c r="L126" s="26" t="s">
        <v>12</v>
      </c>
    </row>
    <row r="127" spans="2:12" x14ac:dyDescent="0.2">
      <c r="B127" s="56" t="s">
        <v>13</v>
      </c>
      <c r="C127" s="57">
        <v>61</v>
      </c>
      <c r="D127" s="57">
        <v>103</v>
      </c>
      <c r="E127" s="57">
        <v>148</v>
      </c>
      <c r="F127" s="57">
        <v>175</v>
      </c>
      <c r="G127" s="57">
        <v>209</v>
      </c>
      <c r="H127" s="57">
        <v>245</v>
      </c>
      <c r="I127" s="57">
        <v>255</v>
      </c>
      <c r="J127" s="57">
        <v>245</v>
      </c>
      <c r="K127" s="57">
        <v>196</v>
      </c>
      <c r="L127" s="57">
        <v>153</v>
      </c>
    </row>
    <row r="128" spans="2:12" x14ac:dyDescent="0.2">
      <c r="B128" s="58" t="s">
        <v>14</v>
      </c>
      <c r="C128" s="59">
        <v>0</v>
      </c>
      <c r="D128" s="59">
        <v>144</v>
      </c>
      <c r="E128" s="59">
        <v>167</v>
      </c>
      <c r="F128" s="59">
        <v>211</v>
      </c>
      <c r="G128" s="59">
        <v>228</v>
      </c>
      <c r="H128" s="59">
        <v>243</v>
      </c>
      <c r="I128" s="59">
        <v>243</v>
      </c>
      <c r="J128" s="59">
        <v>262</v>
      </c>
      <c r="K128" s="59">
        <v>227</v>
      </c>
      <c r="L128" s="59">
        <v>222</v>
      </c>
    </row>
    <row r="129" spans="2:12" x14ac:dyDescent="0.2">
      <c r="B129" s="58" t="s">
        <v>15</v>
      </c>
      <c r="C129" s="59">
        <v>0</v>
      </c>
      <c r="D129" s="59">
        <v>13</v>
      </c>
      <c r="E129" s="59">
        <v>2</v>
      </c>
      <c r="F129" s="59">
        <v>43</v>
      </c>
      <c r="G129" s="59">
        <v>38</v>
      </c>
      <c r="H129" s="59">
        <v>27</v>
      </c>
      <c r="I129" s="59">
        <v>40</v>
      </c>
      <c r="J129" s="59">
        <v>34</v>
      </c>
      <c r="K129" s="59">
        <v>19</v>
      </c>
      <c r="L129" s="59">
        <v>31</v>
      </c>
    </row>
    <row r="130" spans="2:12" x14ac:dyDescent="0.2">
      <c r="B130" s="58" t="s">
        <v>16</v>
      </c>
      <c r="C130" s="59">
        <v>60</v>
      </c>
      <c r="D130" s="59">
        <v>87</v>
      </c>
      <c r="E130" s="59">
        <v>101</v>
      </c>
      <c r="F130" s="59">
        <v>126</v>
      </c>
      <c r="G130" s="59">
        <v>135</v>
      </c>
      <c r="H130" s="59">
        <v>134</v>
      </c>
      <c r="I130" s="59">
        <v>141</v>
      </c>
      <c r="J130" s="59">
        <v>137</v>
      </c>
      <c r="K130" s="59">
        <v>106</v>
      </c>
      <c r="L130" s="59">
        <v>91</v>
      </c>
    </row>
    <row r="131" spans="2:12" x14ac:dyDescent="0.2">
      <c r="B131" s="58" t="s">
        <v>17</v>
      </c>
      <c r="C131" s="59">
        <v>31</v>
      </c>
      <c r="D131" s="59">
        <v>83</v>
      </c>
      <c r="E131" s="59">
        <v>123</v>
      </c>
      <c r="F131" s="59">
        <v>137</v>
      </c>
      <c r="G131" s="59">
        <v>198</v>
      </c>
      <c r="H131" s="59">
        <v>271</v>
      </c>
      <c r="I131" s="59">
        <v>313</v>
      </c>
      <c r="J131" s="59">
        <v>243</v>
      </c>
      <c r="K131" s="59">
        <v>247</v>
      </c>
      <c r="L131" s="59">
        <v>260</v>
      </c>
    </row>
    <row r="132" spans="2:12" x14ac:dyDescent="0.2">
      <c r="B132" s="58" t="s">
        <v>18</v>
      </c>
      <c r="C132" s="59">
        <v>59</v>
      </c>
      <c r="D132" s="59">
        <v>100</v>
      </c>
      <c r="E132" s="59">
        <v>124</v>
      </c>
      <c r="F132" s="59">
        <v>135</v>
      </c>
      <c r="G132" s="59">
        <v>152</v>
      </c>
      <c r="H132" s="59">
        <v>211</v>
      </c>
      <c r="I132" s="59">
        <v>205</v>
      </c>
      <c r="J132" s="59">
        <v>186</v>
      </c>
      <c r="K132" s="59">
        <v>141</v>
      </c>
      <c r="L132" s="59">
        <v>0</v>
      </c>
    </row>
    <row r="133" spans="2:12" x14ac:dyDescent="0.2">
      <c r="B133" s="58" t="s">
        <v>19</v>
      </c>
      <c r="C133" s="59">
        <v>82</v>
      </c>
      <c r="D133" s="59">
        <v>177</v>
      </c>
      <c r="E133" s="59">
        <v>307</v>
      </c>
      <c r="F133" s="59">
        <v>354</v>
      </c>
      <c r="G133" s="59">
        <v>419</v>
      </c>
      <c r="H133" s="59">
        <v>455</v>
      </c>
      <c r="I133" s="59">
        <v>447</v>
      </c>
      <c r="J133" s="59">
        <v>485</v>
      </c>
      <c r="K133" s="59">
        <v>470</v>
      </c>
      <c r="L133" s="59">
        <v>450</v>
      </c>
    </row>
    <row r="134" spans="2:12" x14ac:dyDescent="0.2">
      <c r="B134" s="58" t="s">
        <v>20</v>
      </c>
      <c r="C134" s="59">
        <v>54</v>
      </c>
      <c r="D134" s="59">
        <v>120</v>
      </c>
      <c r="E134" s="59">
        <v>160</v>
      </c>
      <c r="F134" s="59">
        <v>161</v>
      </c>
      <c r="G134" s="59">
        <v>196</v>
      </c>
      <c r="H134" s="59">
        <v>245</v>
      </c>
      <c r="I134" s="59">
        <v>251</v>
      </c>
      <c r="J134" s="59">
        <v>274</v>
      </c>
      <c r="K134" s="59">
        <v>269</v>
      </c>
      <c r="L134" s="59">
        <v>252</v>
      </c>
    </row>
    <row r="135" spans="2:12" x14ac:dyDescent="0.2">
      <c r="B135" s="58" t="s">
        <v>21</v>
      </c>
      <c r="C135" s="59">
        <v>24</v>
      </c>
      <c r="D135" s="59">
        <v>29</v>
      </c>
      <c r="E135" s="59">
        <v>28</v>
      </c>
      <c r="F135" s="59">
        <v>61</v>
      </c>
      <c r="G135" s="59">
        <v>48</v>
      </c>
      <c r="H135" s="59">
        <v>48</v>
      </c>
      <c r="I135" s="59">
        <v>41</v>
      </c>
      <c r="J135" s="59">
        <v>28</v>
      </c>
      <c r="K135" s="59">
        <v>17</v>
      </c>
      <c r="L135" s="59">
        <v>64</v>
      </c>
    </row>
    <row r="136" spans="2:12" x14ac:dyDescent="0.2">
      <c r="B136" s="58" t="s">
        <v>22</v>
      </c>
      <c r="C136" s="59">
        <v>30</v>
      </c>
      <c r="D136" s="59">
        <v>34</v>
      </c>
      <c r="E136" s="59">
        <v>61</v>
      </c>
      <c r="F136" s="59">
        <v>52</v>
      </c>
      <c r="G136" s="59">
        <v>44</v>
      </c>
      <c r="H136" s="59">
        <v>44</v>
      </c>
      <c r="I136" s="59">
        <v>47</v>
      </c>
      <c r="J136" s="59">
        <v>42</v>
      </c>
      <c r="K136" s="59">
        <v>52</v>
      </c>
      <c r="L136" s="59">
        <v>46</v>
      </c>
    </row>
    <row r="137" spans="2:12" x14ac:dyDescent="0.2">
      <c r="B137" s="58" t="s">
        <v>23</v>
      </c>
      <c r="C137" s="59">
        <v>72</v>
      </c>
      <c r="D137" s="59">
        <v>90</v>
      </c>
      <c r="E137" s="59">
        <v>126</v>
      </c>
      <c r="F137" s="59">
        <v>152</v>
      </c>
      <c r="G137" s="59">
        <v>176</v>
      </c>
      <c r="H137" s="59">
        <v>189</v>
      </c>
      <c r="I137" s="59">
        <v>147</v>
      </c>
      <c r="J137" s="59">
        <v>127</v>
      </c>
      <c r="K137" s="59">
        <v>101</v>
      </c>
      <c r="L137" s="59">
        <v>88</v>
      </c>
    </row>
    <row r="138" spans="2:12" x14ac:dyDescent="0.2">
      <c r="B138" s="58" t="s">
        <v>24</v>
      </c>
      <c r="C138" s="59">
        <v>70</v>
      </c>
      <c r="D138" s="59">
        <v>180</v>
      </c>
      <c r="E138" s="59">
        <v>192</v>
      </c>
      <c r="F138" s="59">
        <v>206</v>
      </c>
      <c r="G138" s="59">
        <v>198</v>
      </c>
      <c r="H138" s="59">
        <v>213</v>
      </c>
      <c r="I138" s="59">
        <v>208</v>
      </c>
      <c r="J138" s="59">
        <v>220</v>
      </c>
      <c r="K138" s="59">
        <v>239</v>
      </c>
      <c r="L138" s="59">
        <v>248</v>
      </c>
    </row>
    <row r="139" spans="2:12" x14ac:dyDescent="0.2">
      <c r="B139" s="58" t="s">
        <v>25</v>
      </c>
      <c r="C139" s="59">
        <v>68</v>
      </c>
      <c r="D139" s="59">
        <v>102</v>
      </c>
      <c r="E139" s="59">
        <v>142</v>
      </c>
      <c r="F139" s="59">
        <v>175</v>
      </c>
      <c r="G139" s="59">
        <v>222</v>
      </c>
      <c r="H139" s="59">
        <v>257</v>
      </c>
      <c r="I139" s="59">
        <v>282</v>
      </c>
      <c r="J139" s="59">
        <v>317</v>
      </c>
      <c r="K139" s="59">
        <v>321</v>
      </c>
      <c r="L139" s="59">
        <v>328</v>
      </c>
    </row>
    <row r="140" spans="2:12" x14ac:dyDescent="0.2">
      <c r="B140" s="61" t="s">
        <v>26</v>
      </c>
      <c r="C140" s="62">
        <v>96</v>
      </c>
      <c r="D140" s="62">
        <v>185</v>
      </c>
      <c r="E140" s="62">
        <v>246</v>
      </c>
      <c r="F140" s="62">
        <v>350</v>
      </c>
      <c r="G140" s="62">
        <v>395</v>
      </c>
      <c r="H140" s="62">
        <v>446</v>
      </c>
      <c r="I140" s="62">
        <v>479</v>
      </c>
      <c r="J140" s="62">
        <v>542</v>
      </c>
      <c r="K140" s="62">
        <v>584</v>
      </c>
      <c r="L140" s="62">
        <v>610</v>
      </c>
    </row>
    <row r="141" spans="2:12" x14ac:dyDescent="0.2">
      <c r="B141" s="20" t="s">
        <v>27</v>
      </c>
      <c r="C141" s="21">
        <f>SUBTOTAL(109,'Ethnic Enrollment'!$C$127:$C$140)</f>
        <v>707</v>
      </c>
      <c r="D141" s="21">
        <f>SUBTOTAL(109,'Ethnic Enrollment'!$D$127:$D$140)</f>
        <v>1447</v>
      </c>
      <c r="E141" s="21">
        <f>SUBTOTAL(109,'Ethnic Enrollment'!$E$127:$E$140)</f>
        <v>1927</v>
      </c>
      <c r="F141" s="21">
        <f>SUBTOTAL(109,'Ethnic Enrollment'!$F$127:$F$140)</f>
        <v>2338</v>
      </c>
      <c r="G141" s="21">
        <f>SUBTOTAL(109,'Ethnic Enrollment'!$G$127:$G$140)</f>
        <v>2658</v>
      </c>
      <c r="H141" s="21">
        <f>SUBTOTAL(109,'Ethnic Enrollment'!$H$127:$H$140)</f>
        <v>3028</v>
      </c>
      <c r="I141" s="21">
        <f>SUBTOTAL(109,'Ethnic Enrollment'!$I$127:$I$140)</f>
        <v>3099</v>
      </c>
      <c r="J141" s="21">
        <f>SUBTOTAL(109,'Ethnic Enrollment'!$J$127:$J$140)</f>
        <v>3142</v>
      </c>
      <c r="K141" s="21">
        <f>SUBTOTAL(109,'Ethnic Enrollment'!$K$127:$K$140)</f>
        <v>2989</v>
      </c>
      <c r="L141" s="21">
        <f>SUBTOTAL(109,'Ethnic Enrollment'!$L$127:$L$140)</f>
        <v>2843</v>
      </c>
    </row>
    <row r="144" spans="2:12" ht="15" x14ac:dyDescent="0.2">
      <c r="B144" s="127" t="s">
        <v>74</v>
      </c>
      <c r="C144" s="127"/>
      <c r="D144" s="127"/>
      <c r="E144" s="127"/>
      <c r="F144" s="127"/>
      <c r="G144" s="127"/>
      <c r="H144" s="127"/>
      <c r="I144" s="127"/>
      <c r="J144" s="127"/>
      <c r="K144" s="127"/>
      <c r="L144" s="127"/>
    </row>
    <row r="145" spans="2:12" s="14" customFormat="1" ht="30.95" customHeight="1" x14ac:dyDescent="0.25">
      <c r="B145" s="52" t="s">
        <v>1</v>
      </c>
      <c r="C145" s="52" t="str">
        <f>CONCATENATE(IF(RIGHT(Parameters!B1,1) = "1","Fall ", "Spring "),IF(RIGHT(Parameters!B1,1) = "1",LEFT(Parameters!B1,4) -9, LEFT(Parameters!B1,4) - 8))</f>
        <v>Fall 2010</v>
      </c>
      <c r="D145" s="52" t="str">
        <f>CONCATENATE(IF(RIGHT(Parameters!B1,1) = "1","Fall ", "Spring "),IF(RIGHT(Parameters!B1,1) = "1",LEFT(Parameters!B1,4) -8, LEFT(Parameters!B1,4) - 7))</f>
        <v>Fall 2011</v>
      </c>
      <c r="E145" s="52" t="str">
        <f>CONCATENATE(IF(RIGHT(Parameters!B1,1) = "1","Fall ", "Spring "),IF(RIGHT(Parameters!B1,1) = "1",LEFT(Parameters!B1,4) -7, LEFT(Parameters!B1,4) - 6))</f>
        <v>Fall 2012</v>
      </c>
      <c r="F145" s="52" t="str">
        <f>CONCATENATE(IF(RIGHT(Parameters!B1,1) = "1","Fall ", "Spring "),IF(RIGHT(Parameters!B1,1) = "1",LEFT(Parameters!B1,4) -6, LEFT(Parameters!B1,4) - 5))</f>
        <v>Fall 2013</v>
      </c>
      <c r="G145" s="52" t="str">
        <f>CONCATENATE(IF(RIGHT(Parameters!B1,1) = "1","Fall ", "Spring "),IF(RIGHT(Parameters!B1,1) = "1",LEFT(Parameters!B1,4) -5, LEFT(Parameters!B1,4) - 4))</f>
        <v>Fall 2014</v>
      </c>
      <c r="H145" s="52" t="str">
        <f>CONCATENATE(IF(RIGHT(Parameters!B1,1) = "1","Fall ", "Spring "),IF(RIGHT(Parameters!B1,1) = "1",LEFT(Parameters!B1,4) -4, LEFT(Parameters!B1,4) - 3))</f>
        <v>Fall 2015</v>
      </c>
      <c r="I145" s="52" t="str">
        <f>CONCATENATE(IF(RIGHT(Parameters!B1,1) = "1","Fall ", "Spring "),IF(RIGHT(Parameters!B1,1) = "1",LEFT(Parameters!B1,4) -3, LEFT(Parameters!B1,4) - 2))</f>
        <v>Fall 2016</v>
      </c>
      <c r="J145" s="52" t="str">
        <f>CONCATENATE(IF(RIGHT(Parameters!B1,1) = "1","Fall ", "Spring "),IF(RIGHT(Parameters!B1,1) = "1",LEFT(Parameters!B1,4) -2, LEFT(Parameters!B1,4) - 1))</f>
        <v>Fall 2017</v>
      </c>
      <c r="K145" s="52" t="str">
        <f>CONCATENATE(IF(RIGHT(Parameters!B1,1) = "1","Fall ", "Spring "),IF(RIGHT(Parameters!B1,1) = "1",LEFT(Parameters!B1,4) -1, LEFT(Parameters!B1,4) ))</f>
        <v>Fall 2018</v>
      </c>
      <c r="L145" s="52" t="str">
        <f>CONCATENATE(IF(RIGHT(Parameters!B1,1) = "1","Fall ", "Spring "),IF(RIGHT(Parameters!B1,1) = "1",LEFT(Parameters!B1,4), LEFT(Parameters!B1,4) + 1))</f>
        <v>Fall 2019</v>
      </c>
    </row>
    <row r="146" spans="2:12" ht="16.5" hidden="1" customHeight="1" x14ac:dyDescent="0.2">
      <c r="B146" s="26" t="s">
        <v>2</v>
      </c>
      <c r="C146" s="26" t="s">
        <v>3</v>
      </c>
      <c r="D146" s="26" t="s">
        <v>4</v>
      </c>
      <c r="E146" s="26" t="s">
        <v>5</v>
      </c>
      <c r="F146" s="26" t="s">
        <v>6</v>
      </c>
      <c r="G146" s="26" t="s">
        <v>7</v>
      </c>
      <c r="H146" s="26" t="s">
        <v>8</v>
      </c>
      <c r="I146" s="26" t="s">
        <v>9</v>
      </c>
      <c r="J146" s="26" t="s">
        <v>10</v>
      </c>
      <c r="K146" s="26" t="s">
        <v>11</v>
      </c>
      <c r="L146" s="26" t="s">
        <v>12</v>
      </c>
    </row>
    <row r="147" spans="2:12" x14ac:dyDescent="0.2">
      <c r="B147" s="56" t="s">
        <v>13</v>
      </c>
      <c r="C147" s="57">
        <v>128</v>
      </c>
      <c r="D147" s="57">
        <v>134</v>
      </c>
      <c r="E147" s="57">
        <v>178</v>
      </c>
      <c r="F147" s="57">
        <v>138</v>
      </c>
      <c r="G147" s="57">
        <v>119</v>
      </c>
      <c r="H147" s="57">
        <v>96</v>
      </c>
      <c r="I147" s="57">
        <v>56</v>
      </c>
      <c r="J147" s="57">
        <v>69</v>
      </c>
      <c r="K147" s="57">
        <v>49</v>
      </c>
      <c r="L147" s="57">
        <v>52</v>
      </c>
    </row>
    <row r="148" spans="2:12" x14ac:dyDescent="0.2">
      <c r="B148" s="58" t="s">
        <v>14</v>
      </c>
      <c r="C148" s="59">
        <v>134</v>
      </c>
      <c r="D148" s="59">
        <v>73</v>
      </c>
      <c r="E148" s="59">
        <v>67</v>
      </c>
      <c r="F148" s="59">
        <v>68</v>
      </c>
      <c r="G148" s="59">
        <v>68</v>
      </c>
      <c r="H148" s="59">
        <v>75</v>
      </c>
      <c r="I148" s="59">
        <v>77</v>
      </c>
      <c r="J148" s="59">
        <v>64</v>
      </c>
      <c r="K148" s="59">
        <v>62</v>
      </c>
      <c r="L148" s="59">
        <v>43</v>
      </c>
    </row>
    <row r="149" spans="2:12" x14ac:dyDescent="0.2">
      <c r="B149" s="58" t="s">
        <v>15</v>
      </c>
      <c r="C149" s="59">
        <v>1</v>
      </c>
      <c r="D149" s="59">
        <v>2</v>
      </c>
      <c r="E149" s="59">
        <v>2</v>
      </c>
      <c r="F149" s="59">
        <v>0</v>
      </c>
      <c r="G149" s="59">
        <v>2</v>
      </c>
      <c r="H149" s="59">
        <v>4</v>
      </c>
      <c r="I149" s="59">
        <v>3</v>
      </c>
      <c r="J149" s="59">
        <v>0</v>
      </c>
      <c r="K149" s="59">
        <v>0</v>
      </c>
      <c r="L149" s="59">
        <v>2</v>
      </c>
    </row>
    <row r="150" spans="2:12" x14ac:dyDescent="0.2">
      <c r="B150" s="58" t="s">
        <v>16</v>
      </c>
      <c r="C150" s="59">
        <v>47</v>
      </c>
      <c r="D150" s="59">
        <v>55</v>
      </c>
      <c r="E150" s="59">
        <v>44</v>
      </c>
      <c r="F150" s="59">
        <v>43</v>
      </c>
      <c r="G150" s="59">
        <v>82</v>
      </c>
      <c r="H150" s="59">
        <v>43</v>
      </c>
      <c r="I150" s="59">
        <v>27</v>
      </c>
      <c r="J150" s="59">
        <v>18</v>
      </c>
      <c r="K150" s="59">
        <v>17</v>
      </c>
      <c r="L150" s="59">
        <v>19</v>
      </c>
    </row>
    <row r="151" spans="2:12" x14ac:dyDescent="0.2">
      <c r="B151" s="58" t="s">
        <v>17</v>
      </c>
      <c r="C151" s="59">
        <v>64</v>
      </c>
      <c r="D151" s="59">
        <v>63</v>
      </c>
      <c r="E151" s="59">
        <v>76</v>
      </c>
      <c r="F151" s="59">
        <v>87</v>
      </c>
      <c r="G151" s="59">
        <v>96</v>
      </c>
      <c r="H151" s="59">
        <v>121</v>
      </c>
      <c r="I151" s="59">
        <v>67</v>
      </c>
      <c r="J151" s="59">
        <v>81</v>
      </c>
      <c r="K151" s="59">
        <v>76</v>
      </c>
      <c r="L151" s="59">
        <v>66</v>
      </c>
    </row>
    <row r="152" spans="2:12" x14ac:dyDescent="0.2">
      <c r="B152" s="58" t="s">
        <v>18</v>
      </c>
      <c r="C152" s="59">
        <v>64</v>
      </c>
      <c r="D152" s="59">
        <v>88</v>
      </c>
      <c r="E152" s="59">
        <v>83</v>
      </c>
      <c r="F152" s="59">
        <v>108</v>
      </c>
      <c r="G152" s="59">
        <v>113</v>
      </c>
      <c r="H152" s="59">
        <v>101</v>
      </c>
      <c r="I152" s="59">
        <v>87</v>
      </c>
      <c r="J152" s="59">
        <v>75</v>
      </c>
      <c r="K152" s="59">
        <v>61</v>
      </c>
      <c r="L152" s="59">
        <v>55</v>
      </c>
    </row>
    <row r="153" spans="2:12" x14ac:dyDescent="0.2">
      <c r="B153" s="58" t="s">
        <v>19</v>
      </c>
      <c r="C153" s="59">
        <v>649</v>
      </c>
      <c r="D153" s="59">
        <v>621</v>
      </c>
      <c r="E153" s="59">
        <v>767</v>
      </c>
      <c r="F153" s="59">
        <v>864</v>
      </c>
      <c r="G153" s="59">
        <v>892</v>
      </c>
      <c r="H153" s="59">
        <v>969</v>
      </c>
      <c r="I153" s="59">
        <v>923</v>
      </c>
      <c r="J153" s="59">
        <v>809</v>
      </c>
      <c r="K153" s="59">
        <v>712</v>
      </c>
      <c r="L153" s="59">
        <v>582</v>
      </c>
    </row>
    <row r="154" spans="2:12" x14ac:dyDescent="0.2">
      <c r="B154" s="58" t="s">
        <v>20</v>
      </c>
      <c r="C154" s="59">
        <v>102</v>
      </c>
      <c r="D154" s="59">
        <v>93</v>
      </c>
      <c r="E154" s="59">
        <v>87</v>
      </c>
      <c r="F154" s="59">
        <v>104</v>
      </c>
      <c r="G154" s="59">
        <v>101</v>
      </c>
      <c r="H154" s="59">
        <v>93</v>
      </c>
      <c r="I154" s="59">
        <v>69</v>
      </c>
      <c r="J154" s="59">
        <v>77</v>
      </c>
      <c r="K154" s="59">
        <v>77</v>
      </c>
      <c r="L154" s="59">
        <v>80</v>
      </c>
    </row>
    <row r="155" spans="2:12" x14ac:dyDescent="0.2">
      <c r="B155" s="58" t="s">
        <v>21</v>
      </c>
      <c r="C155" s="59">
        <v>75</v>
      </c>
      <c r="D155" s="59">
        <v>66</v>
      </c>
      <c r="E155" s="59">
        <v>41</v>
      </c>
      <c r="F155" s="59">
        <v>41</v>
      </c>
      <c r="G155" s="59">
        <v>46</v>
      </c>
      <c r="H155" s="59">
        <v>46</v>
      </c>
      <c r="I155" s="59">
        <v>37</v>
      </c>
      <c r="J155" s="59">
        <v>33</v>
      </c>
      <c r="K155" s="59">
        <v>25</v>
      </c>
      <c r="L155" s="59">
        <v>22</v>
      </c>
    </row>
    <row r="156" spans="2:12" x14ac:dyDescent="0.2">
      <c r="B156" s="58" t="s">
        <v>22</v>
      </c>
      <c r="C156" s="59">
        <v>43</v>
      </c>
      <c r="D156" s="59">
        <v>26</v>
      </c>
      <c r="E156" s="59">
        <v>38</v>
      </c>
      <c r="F156" s="59">
        <v>37</v>
      </c>
      <c r="G156" s="59">
        <v>28</v>
      </c>
      <c r="H156" s="59">
        <v>10</v>
      </c>
      <c r="I156" s="59">
        <v>15</v>
      </c>
      <c r="J156" s="59">
        <v>13</v>
      </c>
      <c r="K156" s="59">
        <v>9</v>
      </c>
      <c r="L156" s="59">
        <v>14</v>
      </c>
    </row>
    <row r="157" spans="2:12" x14ac:dyDescent="0.2">
      <c r="B157" s="58" t="s">
        <v>23</v>
      </c>
      <c r="C157" s="59">
        <v>48</v>
      </c>
      <c r="D157" s="59">
        <v>41</v>
      </c>
      <c r="E157" s="59">
        <v>46</v>
      </c>
      <c r="F157" s="59">
        <v>59</v>
      </c>
      <c r="G157" s="59">
        <v>58</v>
      </c>
      <c r="H157" s="59">
        <v>54</v>
      </c>
      <c r="I157" s="59">
        <v>54</v>
      </c>
      <c r="J157" s="59">
        <v>70</v>
      </c>
      <c r="K157" s="59">
        <v>70</v>
      </c>
      <c r="L157" s="59">
        <v>78</v>
      </c>
    </row>
    <row r="158" spans="2:12" x14ac:dyDescent="0.2">
      <c r="B158" s="58" t="s">
        <v>24</v>
      </c>
      <c r="C158" s="59">
        <v>38</v>
      </c>
      <c r="D158" s="59">
        <v>42</v>
      </c>
      <c r="E158" s="59">
        <v>68</v>
      </c>
      <c r="F158" s="59">
        <v>91</v>
      </c>
      <c r="G158" s="59">
        <v>98</v>
      </c>
      <c r="H158" s="59">
        <v>115</v>
      </c>
      <c r="I158" s="59">
        <v>133</v>
      </c>
      <c r="J158" s="59">
        <v>119</v>
      </c>
      <c r="K158" s="59">
        <v>71</v>
      </c>
      <c r="L158" s="59">
        <v>57</v>
      </c>
    </row>
    <row r="159" spans="2:12" x14ac:dyDescent="0.2">
      <c r="B159" s="58" t="s">
        <v>25</v>
      </c>
      <c r="C159" s="59">
        <v>76</v>
      </c>
      <c r="D159" s="59">
        <v>66</v>
      </c>
      <c r="E159" s="59">
        <v>73</v>
      </c>
      <c r="F159" s="59">
        <v>69</v>
      </c>
      <c r="G159" s="59">
        <v>93</v>
      </c>
      <c r="H159" s="59">
        <v>109</v>
      </c>
      <c r="I159" s="59">
        <v>104</v>
      </c>
      <c r="J159" s="59">
        <v>100</v>
      </c>
      <c r="K159" s="59">
        <v>93</v>
      </c>
      <c r="L159" s="59">
        <v>72</v>
      </c>
    </row>
    <row r="160" spans="2:12" x14ac:dyDescent="0.2">
      <c r="B160" s="61" t="s">
        <v>26</v>
      </c>
      <c r="C160" s="62">
        <v>94</v>
      </c>
      <c r="D160" s="62">
        <v>95</v>
      </c>
      <c r="E160" s="62">
        <v>101</v>
      </c>
      <c r="F160" s="62">
        <v>104</v>
      </c>
      <c r="G160" s="62">
        <v>126</v>
      </c>
      <c r="H160" s="62">
        <v>152</v>
      </c>
      <c r="I160" s="62">
        <v>129</v>
      </c>
      <c r="J160" s="62">
        <v>119</v>
      </c>
      <c r="K160" s="62">
        <v>130</v>
      </c>
      <c r="L160" s="62">
        <v>110</v>
      </c>
    </row>
    <row r="161" spans="2:12" x14ac:dyDescent="0.2">
      <c r="B161" s="20" t="s">
        <v>27</v>
      </c>
      <c r="C161" s="21">
        <f>SUBTOTAL(109,'Ethnic Enrollment'!$C$147:$C$160)</f>
        <v>1563</v>
      </c>
      <c r="D161" s="21">
        <f>SUBTOTAL(109,'Ethnic Enrollment'!$D$147:$D$160)</f>
        <v>1465</v>
      </c>
      <c r="E161" s="21">
        <f>SUBTOTAL(109,'Ethnic Enrollment'!$E$147:$E$160)</f>
        <v>1671</v>
      </c>
      <c r="F161" s="21">
        <f>SUBTOTAL(109,'Ethnic Enrollment'!$F$147:$F$160)</f>
        <v>1813</v>
      </c>
      <c r="G161" s="21">
        <f>SUBTOTAL(109,'Ethnic Enrollment'!$G$147:$G$160)</f>
        <v>1922</v>
      </c>
      <c r="H161" s="21">
        <f>SUBTOTAL(109,'Ethnic Enrollment'!$H$147:$H$160)</f>
        <v>1988</v>
      </c>
      <c r="I161" s="21">
        <f>SUBTOTAL(109,'Ethnic Enrollment'!$I$147:$I$160)</f>
        <v>1781</v>
      </c>
      <c r="J161" s="21">
        <f>SUBTOTAL(109,'Ethnic Enrollment'!$J$147:$J$160)</f>
        <v>1647</v>
      </c>
      <c r="K161" s="21">
        <f>SUBTOTAL(109,'Ethnic Enrollment'!$K$147:$K$160)</f>
        <v>1452</v>
      </c>
      <c r="L161" s="21">
        <f>SUBTOTAL(109,'Ethnic Enrollment'!$L$147:$L$160)</f>
        <v>1252</v>
      </c>
    </row>
    <row r="164" spans="2:12" ht="15" x14ac:dyDescent="0.2">
      <c r="B164" s="127" t="s">
        <v>75</v>
      </c>
      <c r="C164" s="127"/>
      <c r="D164" s="127"/>
      <c r="E164" s="127"/>
      <c r="F164" s="127"/>
      <c r="G164" s="127"/>
      <c r="H164" s="127"/>
      <c r="I164" s="127"/>
      <c r="J164" s="127"/>
      <c r="K164" s="127"/>
      <c r="L164" s="127"/>
    </row>
    <row r="165" spans="2:12" s="14" customFormat="1" ht="30.95" customHeight="1" x14ac:dyDescent="0.25">
      <c r="B165" s="52" t="s">
        <v>1</v>
      </c>
      <c r="C165" s="52" t="str">
        <f>CONCATENATE(IF(RIGHT(Parameters!B1,1) = "1","Fall ", "Spring "),IF(RIGHT(Parameters!B1,1) = "1",LEFT(Parameters!B1,4) -9, LEFT(Parameters!B1,4) - 8))</f>
        <v>Fall 2010</v>
      </c>
      <c r="D165" s="52" t="str">
        <f>CONCATENATE(IF(RIGHT(Parameters!B1,1) = "1","Fall ", "Spring "),IF(RIGHT(Parameters!B1,1) = "1",LEFT(Parameters!B1,4) -8, LEFT(Parameters!B1,4) - 7))</f>
        <v>Fall 2011</v>
      </c>
      <c r="E165" s="52" t="str">
        <f>CONCATENATE(IF(RIGHT(Parameters!B1,1) = "1","Fall ", "Spring "),IF(RIGHT(Parameters!B1,1) = "1",LEFT(Parameters!B1,4) -7, LEFT(Parameters!B1,4) - 6))</f>
        <v>Fall 2012</v>
      </c>
      <c r="F165" s="52" t="str">
        <f>CONCATENATE(IF(RIGHT(Parameters!B1,1) = "1","Fall ", "Spring "),IF(RIGHT(Parameters!B1,1) = "1",LEFT(Parameters!B1,4) -6, LEFT(Parameters!B1,4) - 5))</f>
        <v>Fall 2013</v>
      </c>
      <c r="G165" s="52" t="str">
        <f>CONCATENATE(IF(RIGHT(Parameters!B1,1) = "1","Fall ", "Spring "),IF(RIGHT(Parameters!B1,1) = "1",LEFT(Parameters!B1,4) -5, LEFT(Parameters!B1,4) - 4))</f>
        <v>Fall 2014</v>
      </c>
      <c r="H165" s="52" t="str">
        <f>CONCATENATE(IF(RIGHT(Parameters!B1,1) = "1","Fall ", "Spring "),IF(RIGHT(Parameters!B1,1) = "1",LEFT(Parameters!B1,4) -4, LEFT(Parameters!B1,4) - 3))</f>
        <v>Fall 2015</v>
      </c>
      <c r="I165" s="52" t="str">
        <f>CONCATENATE(IF(RIGHT(Parameters!B1,1) = "1","Fall ", "Spring "),IF(RIGHT(Parameters!B1,1) = "1",LEFT(Parameters!B1,4) -3, LEFT(Parameters!B1,4) - 2))</f>
        <v>Fall 2016</v>
      </c>
      <c r="J165" s="52" t="str">
        <f>CONCATENATE(IF(RIGHT(Parameters!B1,1) = "1","Fall ", "Spring "),IF(RIGHT(Parameters!B1,1) = "1",LEFT(Parameters!B1,4) -2, LEFT(Parameters!B1,4) - 1))</f>
        <v>Fall 2017</v>
      </c>
      <c r="K165" s="52" t="str">
        <f>CONCATENATE(IF(RIGHT(Parameters!B1,1) = "1","Fall ", "Spring "),IF(RIGHT(Parameters!B1,1) = "1",LEFT(Parameters!B1,4) -1, LEFT(Parameters!B1,4) ))</f>
        <v>Fall 2018</v>
      </c>
      <c r="L165" s="52" t="str">
        <f>CONCATENATE(IF(RIGHT(Parameters!B1,1) = "1","Fall ", "Spring "),IF(RIGHT(Parameters!B1,1) = "1",LEFT(Parameters!B1,4), LEFT(Parameters!B1,4) + 1))</f>
        <v>Fall 2019</v>
      </c>
    </row>
    <row r="166" spans="2:12" ht="16.5" hidden="1" customHeight="1" x14ac:dyDescent="0.2">
      <c r="B166" s="26" t="s">
        <v>2</v>
      </c>
      <c r="C166" s="26" t="s">
        <v>3</v>
      </c>
      <c r="D166" s="26" t="s">
        <v>4</v>
      </c>
      <c r="E166" s="26" t="s">
        <v>5</v>
      </c>
      <c r="F166" s="26" t="s">
        <v>6</v>
      </c>
      <c r="G166" s="26" t="s">
        <v>7</v>
      </c>
      <c r="H166" s="26" t="s">
        <v>8</v>
      </c>
      <c r="I166" s="26" t="s">
        <v>9</v>
      </c>
      <c r="J166" s="26" t="s">
        <v>10</v>
      </c>
      <c r="K166" s="26" t="s">
        <v>11</v>
      </c>
      <c r="L166" s="26" t="s">
        <v>12</v>
      </c>
    </row>
    <row r="167" spans="2:12" x14ac:dyDescent="0.2">
      <c r="B167" s="56" t="s">
        <v>13</v>
      </c>
      <c r="C167" s="57">
        <v>529</v>
      </c>
      <c r="D167" s="57">
        <v>404</v>
      </c>
      <c r="E167" s="57">
        <v>262</v>
      </c>
      <c r="F167" s="57">
        <v>203</v>
      </c>
      <c r="G167" s="57">
        <v>145</v>
      </c>
      <c r="H167" s="57">
        <v>120</v>
      </c>
      <c r="I167" s="57">
        <v>107</v>
      </c>
      <c r="J167" s="57">
        <v>119</v>
      </c>
      <c r="K167" s="57">
        <v>327</v>
      </c>
      <c r="L167" s="57">
        <v>414</v>
      </c>
    </row>
    <row r="168" spans="2:12" x14ac:dyDescent="0.2">
      <c r="B168" s="58" t="s">
        <v>14</v>
      </c>
      <c r="C168" s="59">
        <v>582</v>
      </c>
      <c r="D168" s="59">
        <v>1173</v>
      </c>
      <c r="E168" s="59">
        <v>708</v>
      </c>
      <c r="F168" s="59">
        <v>514</v>
      </c>
      <c r="G168" s="59">
        <v>302</v>
      </c>
      <c r="H168" s="59">
        <v>219</v>
      </c>
      <c r="I168" s="59">
        <v>195</v>
      </c>
      <c r="J168" s="59">
        <v>445</v>
      </c>
      <c r="K168" s="59">
        <v>334</v>
      </c>
      <c r="L168" s="59">
        <v>276</v>
      </c>
    </row>
    <row r="169" spans="2:12" x14ac:dyDescent="0.2">
      <c r="B169" s="58" t="s">
        <v>15</v>
      </c>
      <c r="C169" s="59">
        <v>367</v>
      </c>
      <c r="D169" s="59">
        <v>37</v>
      </c>
      <c r="E169" s="59">
        <v>37</v>
      </c>
      <c r="F169" s="59">
        <v>27</v>
      </c>
      <c r="G169" s="59">
        <v>55</v>
      </c>
      <c r="H169" s="59">
        <v>40</v>
      </c>
      <c r="I169" s="59">
        <v>54</v>
      </c>
      <c r="J169" s="59">
        <v>85</v>
      </c>
      <c r="K169" s="59">
        <v>29</v>
      </c>
      <c r="L169" s="59">
        <v>29</v>
      </c>
    </row>
    <row r="170" spans="2:12" x14ac:dyDescent="0.2">
      <c r="B170" s="58" t="s">
        <v>16</v>
      </c>
      <c r="C170" s="59">
        <v>264</v>
      </c>
      <c r="D170" s="59">
        <v>336</v>
      </c>
      <c r="E170" s="59">
        <v>261</v>
      </c>
      <c r="F170" s="59">
        <v>230</v>
      </c>
      <c r="G170" s="59">
        <v>197</v>
      </c>
      <c r="H170" s="59">
        <v>177</v>
      </c>
      <c r="I170" s="59">
        <v>127</v>
      </c>
      <c r="J170" s="59">
        <v>184</v>
      </c>
      <c r="K170" s="59">
        <v>164</v>
      </c>
      <c r="L170" s="59">
        <v>200</v>
      </c>
    </row>
    <row r="171" spans="2:12" x14ac:dyDescent="0.2">
      <c r="B171" s="58" t="s">
        <v>17</v>
      </c>
      <c r="C171" s="59">
        <v>554</v>
      </c>
      <c r="D171" s="59">
        <v>943</v>
      </c>
      <c r="E171" s="59">
        <v>1051</v>
      </c>
      <c r="F171" s="59">
        <v>820</v>
      </c>
      <c r="G171" s="59">
        <v>546</v>
      </c>
      <c r="H171" s="59">
        <v>79</v>
      </c>
      <c r="I171" s="59">
        <v>124</v>
      </c>
      <c r="J171" s="59">
        <v>150</v>
      </c>
      <c r="K171" s="59">
        <v>192</v>
      </c>
      <c r="L171" s="59">
        <v>201</v>
      </c>
    </row>
    <row r="172" spans="2:12" x14ac:dyDescent="0.2">
      <c r="B172" s="58" t="s">
        <v>18</v>
      </c>
      <c r="C172" s="59">
        <v>46</v>
      </c>
      <c r="D172" s="59">
        <v>38</v>
      </c>
      <c r="E172" s="59">
        <v>42</v>
      </c>
      <c r="F172" s="59">
        <v>54</v>
      </c>
      <c r="G172" s="59">
        <v>83</v>
      </c>
      <c r="H172" s="59">
        <v>113</v>
      </c>
      <c r="I172" s="59">
        <v>120</v>
      </c>
      <c r="J172" s="59">
        <v>119</v>
      </c>
      <c r="K172" s="59">
        <v>139</v>
      </c>
      <c r="L172" s="59">
        <v>242</v>
      </c>
    </row>
    <row r="173" spans="2:12" x14ac:dyDescent="0.2">
      <c r="B173" s="58" t="s">
        <v>19</v>
      </c>
      <c r="C173" s="59">
        <v>718</v>
      </c>
      <c r="D173" s="59">
        <v>512</v>
      </c>
      <c r="E173" s="59">
        <v>403</v>
      </c>
      <c r="F173" s="59">
        <v>352</v>
      </c>
      <c r="G173" s="59">
        <v>255</v>
      </c>
      <c r="H173" s="59">
        <v>210</v>
      </c>
      <c r="I173" s="59">
        <v>185</v>
      </c>
      <c r="J173" s="59">
        <v>192</v>
      </c>
      <c r="K173" s="59">
        <v>195</v>
      </c>
      <c r="L173" s="59">
        <v>179</v>
      </c>
    </row>
    <row r="174" spans="2:12" x14ac:dyDescent="0.2">
      <c r="B174" s="58" t="s">
        <v>20</v>
      </c>
      <c r="C174" s="59">
        <v>226</v>
      </c>
      <c r="D174" s="59">
        <v>238</v>
      </c>
      <c r="E174" s="59">
        <v>209</v>
      </c>
      <c r="F174" s="59">
        <v>175</v>
      </c>
      <c r="G174" s="59">
        <v>170</v>
      </c>
      <c r="H174" s="59">
        <v>195</v>
      </c>
      <c r="I174" s="59">
        <v>167</v>
      </c>
      <c r="J174" s="59">
        <v>141</v>
      </c>
      <c r="K174" s="59">
        <v>212</v>
      </c>
      <c r="L174" s="59">
        <v>268</v>
      </c>
    </row>
    <row r="175" spans="2:12" x14ac:dyDescent="0.2">
      <c r="B175" s="58" t="s">
        <v>21</v>
      </c>
      <c r="C175" s="59">
        <v>28</v>
      </c>
      <c r="D175" s="59">
        <v>31</v>
      </c>
      <c r="E175" s="59">
        <v>37</v>
      </c>
      <c r="F175" s="59">
        <v>31</v>
      </c>
      <c r="G175" s="59">
        <v>79</v>
      </c>
      <c r="H175" s="59">
        <v>67</v>
      </c>
      <c r="I175" s="59">
        <v>59</v>
      </c>
      <c r="J175" s="59">
        <v>135</v>
      </c>
      <c r="K175" s="59">
        <v>95</v>
      </c>
      <c r="L175" s="59">
        <v>57</v>
      </c>
    </row>
    <row r="176" spans="2:12" x14ac:dyDescent="0.2">
      <c r="B176" s="58" t="s">
        <v>22</v>
      </c>
      <c r="C176" s="59">
        <v>246</v>
      </c>
      <c r="D176" s="59">
        <v>191</v>
      </c>
      <c r="E176" s="59">
        <v>141</v>
      </c>
      <c r="F176" s="59">
        <v>100</v>
      </c>
      <c r="G176" s="59">
        <v>65</v>
      </c>
      <c r="H176" s="59">
        <v>46</v>
      </c>
      <c r="I176" s="59">
        <v>41</v>
      </c>
      <c r="J176" s="59">
        <v>57</v>
      </c>
      <c r="K176" s="59">
        <v>51</v>
      </c>
      <c r="L176" s="59">
        <v>68</v>
      </c>
    </row>
    <row r="177" spans="2:12" x14ac:dyDescent="0.2">
      <c r="B177" s="58" t="s">
        <v>23</v>
      </c>
      <c r="C177" s="59">
        <v>134</v>
      </c>
      <c r="D177" s="59">
        <v>102</v>
      </c>
      <c r="E177" s="59">
        <v>69</v>
      </c>
      <c r="F177" s="59">
        <v>47</v>
      </c>
      <c r="G177" s="59">
        <v>40</v>
      </c>
      <c r="H177" s="59">
        <v>47</v>
      </c>
      <c r="I177" s="59">
        <v>115</v>
      </c>
      <c r="J177" s="59">
        <v>95</v>
      </c>
      <c r="K177" s="59">
        <v>96</v>
      </c>
      <c r="L177" s="59">
        <v>99</v>
      </c>
    </row>
    <row r="178" spans="2:12" x14ac:dyDescent="0.2">
      <c r="B178" s="58" t="s">
        <v>24</v>
      </c>
      <c r="C178" s="59">
        <v>490</v>
      </c>
      <c r="D178" s="59">
        <v>369</v>
      </c>
      <c r="E178" s="59">
        <v>268</v>
      </c>
      <c r="F178" s="59">
        <v>213</v>
      </c>
      <c r="G178" s="59">
        <v>154</v>
      </c>
      <c r="H178" s="59">
        <v>115</v>
      </c>
      <c r="I178" s="59">
        <v>90</v>
      </c>
      <c r="J178" s="59">
        <v>64</v>
      </c>
      <c r="K178" s="59">
        <v>66</v>
      </c>
      <c r="L178" s="59">
        <v>65</v>
      </c>
    </row>
    <row r="179" spans="2:12" x14ac:dyDescent="0.2">
      <c r="B179" s="58" t="s">
        <v>25</v>
      </c>
      <c r="C179" s="59">
        <v>505</v>
      </c>
      <c r="D179" s="59">
        <v>475</v>
      </c>
      <c r="E179" s="59">
        <v>405</v>
      </c>
      <c r="F179" s="59">
        <v>273</v>
      </c>
      <c r="G179" s="59">
        <v>195</v>
      </c>
      <c r="H179" s="59">
        <v>135</v>
      </c>
      <c r="I179" s="59">
        <v>113</v>
      </c>
      <c r="J179" s="59">
        <v>112</v>
      </c>
      <c r="K179" s="59">
        <v>147</v>
      </c>
      <c r="L179" s="59">
        <v>173</v>
      </c>
    </row>
    <row r="180" spans="2:12" x14ac:dyDescent="0.2">
      <c r="B180" s="61" t="s">
        <v>26</v>
      </c>
      <c r="C180" s="62">
        <v>54</v>
      </c>
      <c r="D180" s="62">
        <v>49</v>
      </c>
      <c r="E180" s="62">
        <v>127</v>
      </c>
      <c r="F180" s="62">
        <v>31</v>
      </c>
      <c r="G180" s="62">
        <v>64</v>
      </c>
      <c r="H180" s="62">
        <v>97</v>
      </c>
      <c r="I180" s="62">
        <v>127</v>
      </c>
      <c r="J180" s="62">
        <v>159</v>
      </c>
      <c r="K180" s="62">
        <v>228</v>
      </c>
      <c r="L180" s="62">
        <v>335</v>
      </c>
    </row>
    <row r="181" spans="2:12" x14ac:dyDescent="0.2">
      <c r="B181" s="20" t="s">
        <v>27</v>
      </c>
      <c r="C181" s="21">
        <f>SUBTOTAL(109,'Ethnic Enrollment'!$C$167:$C$180)</f>
        <v>4743</v>
      </c>
      <c r="D181" s="21">
        <f>SUBTOTAL(109,'Ethnic Enrollment'!$D$167:$D$180)</f>
        <v>4898</v>
      </c>
      <c r="E181" s="21">
        <f>SUBTOTAL(109,'Ethnic Enrollment'!$E$167:$E$180)</f>
        <v>4020</v>
      </c>
      <c r="F181" s="21">
        <f>SUBTOTAL(109,'Ethnic Enrollment'!$F$167:$F$180)</f>
        <v>3070</v>
      </c>
      <c r="G181" s="21">
        <f>SUBTOTAL(109,'Ethnic Enrollment'!$G$167:$G$180)</f>
        <v>2350</v>
      </c>
      <c r="H181" s="21">
        <f>SUBTOTAL(109,'Ethnic Enrollment'!$H$167:$H$180)</f>
        <v>1660</v>
      </c>
      <c r="I181" s="21">
        <f>SUBTOTAL(109,'Ethnic Enrollment'!$I$167:$I$180)</f>
        <v>1624</v>
      </c>
      <c r="J181" s="21">
        <f>SUBTOTAL(109,'Ethnic Enrollment'!$J$167:$J$180)</f>
        <v>2057</v>
      </c>
      <c r="K181" s="21">
        <f>SUBTOTAL(109,'Ethnic Enrollment'!$K$167:$K$180)</f>
        <v>2275</v>
      </c>
      <c r="L181" s="21">
        <f>SUBTOTAL(109,'Ethnic Enrollment'!$L$167:$L$180)</f>
        <v>2606</v>
      </c>
    </row>
    <row r="183" spans="2:12" x14ac:dyDescent="0.2">
      <c r="B183" s="6" t="s">
        <v>29</v>
      </c>
      <c r="C183" s="60"/>
      <c r="D183" s="60"/>
      <c r="E183" s="60"/>
      <c r="F183" s="60"/>
      <c r="G183" s="60"/>
      <c r="H183" s="60"/>
      <c r="I183" s="60"/>
      <c r="J183" s="60"/>
      <c r="K183" s="60"/>
      <c r="L183" s="60"/>
    </row>
    <row r="184" spans="2:12" x14ac:dyDescent="0.2">
      <c r="B184" s="9" t="s">
        <v>30</v>
      </c>
      <c r="C184" s="60"/>
      <c r="D184" s="60"/>
      <c r="E184" s="60"/>
      <c r="F184" s="60"/>
      <c r="G184" s="60"/>
      <c r="H184" s="60"/>
      <c r="I184" s="60"/>
      <c r="J184" s="60"/>
      <c r="K184" s="60"/>
      <c r="L184" s="60"/>
    </row>
    <row r="185" spans="2:12" x14ac:dyDescent="0.2">
      <c r="B185" s="9" t="s">
        <v>31</v>
      </c>
      <c r="C185" s="60"/>
      <c r="D185" s="60"/>
      <c r="E185" s="60"/>
      <c r="F185" s="60"/>
      <c r="G185" s="60"/>
      <c r="H185" s="60"/>
      <c r="I185" s="60"/>
      <c r="J185" s="60"/>
      <c r="K185" s="60"/>
      <c r="L185" s="60"/>
    </row>
  </sheetData>
  <mergeCells count="11">
    <mergeCell ref="B84:L84"/>
    <mergeCell ref="B104:L104"/>
    <mergeCell ref="B124:L124"/>
    <mergeCell ref="B144:L144"/>
    <mergeCell ref="B164:L164"/>
    <mergeCell ref="B1:L1"/>
    <mergeCell ref="B4:L4"/>
    <mergeCell ref="B24:L24"/>
    <mergeCell ref="B44:L44"/>
    <mergeCell ref="B64:L64"/>
    <mergeCell ref="B2:L2"/>
  </mergeCells>
  <printOptions horizontalCentered="1"/>
  <pageMargins left="0.5" right="0.5" top="1" bottom="0.5" header="0.3" footer="0.3"/>
  <pageSetup scale="70" fitToHeight="0" orientation="landscape" r:id="rId1"/>
  <headerFooter>
    <oddHeader>&amp;L&amp;"Arial,Regular"&amp;10Pennsylvania's State System of Higher Education | &amp;D
Office of Educational Intelligence | Page &amp;P of &amp;N</oddHeader>
  </headerFooter>
  <rowBreaks count="4" manualBreakCount="4">
    <brk id="42" min="1" max="11" man="1"/>
    <brk id="82" min="1" max="11" man="1"/>
    <brk id="122" min="1" max="11" man="1"/>
    <brk id="162" min="1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L185"/>
  <sheetViews>
    <sheetView zoomScaleNormal="100" workbookViewId="0">
      <selection activeCell="B185" sqref="B185"/>
    </sheetView>
  </sheetViews>
  <sheetFormatPr defaultRowHeight="14.25" x14ac:dyDescent="0.2"/>
  <cols>
    <col min="1" max="1" width="9.140625" style="5"/>
    <col min="2" max="2" width="23.5703125" style="5" customWidth="1"/>
    <col min="3" max="12" width="15.7109375" style="5" customWidth="1"/>
    <col min="13" max="16384" width="9.140625" style="5"/>
  </cols>
  <sheetData>
    <row r="1" spans="2:12" ht="15" x14ac:dyDescent="0.2">
      <c r="B1" s="126" t="s">
        <v>0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spans="2:12" ht="15" x14ac:dyDescent="0.2">
      <c r="B2" s="126" t="s">
        <v>76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</row>
    <row r="3" spans="2:12" x14ac:dyDescent="0.2"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2:12" ht="15" x14ac:dyDescent="0.2">
      <c r="B4" s="127" t="s">
        <v>67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</row>
    <row r="5" spans="2:12" ht="30.95" customHeight="1" x14ac:dyDescent="0.2">
      <c r="B5" s="52" t="s">
        <v>1</v>
      </c>
      <c r="C5" s="52" t="str">
        <f>CONCATENATE(IF(RIGHT(Parameters!B1,1) = "1","Fall ", "Spring "),IF(RIGHT(Parameters!B1,1) = "1",LEFT(Parameters!B1,4) -9, LEFT(Parameters!B1,4) - 8))</f>
        <v>Fall 2010</v>
      </c>
      <c r="D5" s="52" t="str">
        <f>CONCATENATE(IF(RIGHT(Parameters!B1,1) = "1","Fall ", "Spring "),IF(RIGHT(Parameters!B1,1) = "1",LEFT(Parameters!B1,4) -8, LEFT(Parameters!B1,4) - 7))</f>
        <v>Fall 2011</v>
      </c>
      <c r="E5" s="52" t="str">
        <f>CONCATENATE(IF(RIGHT(Parameters!B1,1) = "1","Fall ", "Spring "),IF(RIGHT(Parameters!B1,1) = "1",LEFT(Parameters!B1,4) -7, LEFT(Parameters!B1,4) - 6))</f>
        <v>Fall 2012</v>
      </c>
      <c r="F5" s="52" t="str">
        <f>CONCATENATE(IF(RIGHT(Parameters!B1,1) = "1","Fall ", "Spring "),IF(RIGHT(Parameters!B1,1) = "1",LEFT(Parameters!B1,4) -6, LEFT(Parameters!B1,4) - 5))</f>
        <v>Fall 2013</v>
      </c>
      <c r="G5" s="52" t="str">
        <f>CONCATENATE(IF(RIGHT(Parameters!B1,1) = "1","Fall ", "Spring "),IF(RIGHT(Parameters!B1,1) = "1",LEFT(Parameters!B1,4) -5, LEFT(Parameters!B1,4) - 4))</f>
        <v>Fall 2014</v>
      </c>
      <c r="H5" s="52" t="str">
        <f>CONCATENATE(IF(RIGHT(Parameters!B1,1) = "1","Fall ", "Spring "),IF(RIGHT(Parameters!B1,1) = "1",LEFT(Parameters!B1,4) -4, LEFT(Parameters!B1,4) - 3))</f>
        <v>Fall 2015</v>
      </c>
      <c r="I5" s="52" t="str">
        <f>CONCATENATE(IF(RIGHT(Parameters!B1,1) = "1","Fall ", "Spring "),IF(RIGHT(Parameters!B1,1) = "1",LEFT(Parameters!B1,4) -3, LEFT(Parameters!B1,4) - 2))</f>
        <v>Fall 2016</v>
      </c>
      <c r="J5" s="52" t="str">
        <f>CONCATENATE(IF(RIGHT(Parameters!B1,1) = "1","Fall ", "Spring "),IF(RIGHT(Parameters!B1,1) = "1",LEFT(Parameters!B1,4) -2, LEFT(Parameters!B1,4) - 1))</f>
        <v>Fall 2017</v>
      </c>
      <c r="K5" s="52" t="str">
        <f>CONCATENATE(IF(RIGHT(Parameters!B1,1) = "1","Fall ", "Spring "),IF(RIGHT(Parameters!B1,1) = "1",LEFT(Parameters!B1,4) -1, LEFT(Parameters!B1,4) ))</f>
        <v>Fall 2018</v>
      </c>
      <c r="L5" s="52" t="str">
        <f>CONCATENATE(IF(RIGHT(Parameters!B1,1) = "1","Fall ", "Spring "),IF(RIGHT(Parameters!B1,1) = "1",LEFT(Parameters!B1,4), LEFT(Parameters!B1,4) + 1))</f>
        <v>Fall 2019</v>
      </c>
    </row>
    <row r="6" spans="2:12" ht="16.5" hidden="1" customHeight="1" x14ac:dyDescent="0.2">
      <c r="B6" s="26" t="s">
        <v>2</v>
      </c>
      <c r="C6" s="26" t="s">
        <v>3</v>
      </c>
      <c r="D6" s="26" t="s">
        <v>4</v>
      </c>
      <c r="E6" s="26" t="s">
        <v>5</v>
      </c>
      <c r="F6" s="26" t="s">
        <v>6</v>
      </c>
      <c r="G6" s="26" t="s">
        <v>7</v>
      </c>
      <c r="H6" s="26" t="s">
        <v>8</v>
      </c>
      <c r="I6" s="26" t="s">
        <v>9</v>
      </c>
      <c r="J6" s="26" t="s">
        <v>10</v>
      </c>
      <c r="K6" s="26" t="s">
        <v>11</v>
      </c>
      <c r="L6" s="26" t="s">
        <v>12</v>
      </c>
    </row>
    <row r="7" spans="2:12" x14ac:dyDescent="0.2">
      <c r="B7" s="56" t="s">
        <v>13</v>
      </c>
      <c r="C7" s="57">
        <v>616</v>
      </c>
      <c r="D7" s="57">
        <v>630</v>
      </c>
      <c r="E7" s="57">
        <v>681</v>
      </c>
      <c r="F7" s="57">
        <v>750</v>
      </c>
      <c r="G7" s="57">
        <v>752</v>
      </c>
      <c r="H7" s="57">
        <v>780</v>
      </c>
      <c r="I7" s="57">
        <v>753</v>
      </c>
      <c r="J7" s="57">
        <v>714</v>
      </c>
      <c r="K7" s="57">
        <v>568</v>
      </c>
      <c r="L7" s="57">
        <v>521</v>
      </c>
    </row>
    <row r="8" spans="2:12" x14ac:dyDescent="0.2">
      <c r="B8" s="58" t="s">
        <v>14</v>
      </c>
      <c r="C8" s="59">
        <v>544</v>
      </c>
      <c r="D8" s="59">
        <v>507</v>
      </c>
      <c r="E8" s="59">
        <v>511</v>
      </c>
      <c r="F8" s="59">
        <v>610</v>
      </c>
      <c r="G8" s="59">
        <v>674</v>
      </c>
      <c r="H8" s="59">
        <v>707</v>
      </c>
      <c r="I8" s="59">
        <v>690</v>
      </c>
      <c r="J8" s="59">
        <v>713</v>
      </c>
      <c r="K8" s="59">
        <v>680</v>
      </c>
      <c r="L8" s="59">
        <v>557</v>
      </c>
    </row>
    <row r="9" spans="2:12" x14ac:dyDescent="0.2">
      <c r="B9" s="58" t="s">
        <v>15</v>
      </c>
      <c r="C9" s="59">
        <v>1121</v>
      </c>
      <c r="D9" s="59">
        <v>1066</v>
      </c>
      <c r="E9" s="59">
        <v>1138</v>
      </c>
      <c r="F9" s="59">
        <v>1038</v>
      </c>
      <c r="G9" s="59">
        <v>851</v>
      </c>
      <c r="H9" s="59">
        <v>564</v>
      </c>
      <c r="I9" s="59">
        <v>566</v>
      </c>
      <c r="J9" s="59">
        <v>564</v>
      </c>
      <c r="K9" s="59">
        <v>371</v>
      </c>
      <c r="L9" s="59">
        <v>481</v>
      </c>
    </row>
    <row r="10" spans="2:12" x14ac:dyDescent="0.2">
      <c r="B10" s="58" t="s">
        <v>16</v>
      </c>
      <c r="C10" s="59">
        <v>373</v>
      </c>
      <c r="D10" s="59">
        <v>374</v>
      </c>
      <c r="E10" s="59">
        <v>332</v>
      </c>
      <c r="F10" s="59">
        <v>329</v>
      </c>
      <c r="G10" s="59">
        <v>351</v>
      </c>
      <c r="H10" s="59">
        <v>361</v>
      </c>
      <c r="I10" s="59">
        <v>318</v>
      </c>
      <c r="J10" s="59">
        <v>325</v>
      </c>
      <c r="K10" s="59">
        <v>280</v>
      </c>
      <c r="L10" s="59">
        <v>277</v>
      </c>
    </row>
    <row r="11" spans="2:12" x14ac:dyDescent="0.2">
      <c r="B11" s="58" t="s">
        <v>17</v>
      </c>
      <c r="C11" s="59">
        <v>444</v>
      </c>
      <c r="D11" s="59">
        <v>458</v>
      </c>
      <c r="E11" s="59">
        <v>486</v>
      </c>
      <c r="F11" s="59">
        <v>573</v>
      </c>
      <c r="G11" s="59">
        <v>676</v>
      </c>
      <c r="H11" s="59">
        <v>852</v>
      </c>
      <c r="I11" s="59">
        <v>964</v>
      </c>
      <c r="J11" s="59">
        <v>1061</v>
      </c>
      <c r="K11" s="59">
        <v>1140</v>
      </c>
      <c r="L11" s="59">
        <v>1084</v>
      </c>
    </row>
    <row r="12" spans="2:12" x14ac:dyDescent="0.2">
      <c r="B12" s="58" t="s">
        <v>18</v>
      </c>
      <c r="C12" s="59">
        <v>508</v>
      </c>
      <c r="D12" s="59">
        <v>483</v>
      </c>
      <c r="E12" s="59">
        <v>424</v>
      </c>
      <c r="F12" s="59">
        <v>409</v>
      </c>
      <c r="G12" s="59">
        <v>478</v>
      </c>
      <c r="H12" s="59">
        <v>398</v>
      </c>
      <c r="I12" s="59">
        <v>366</v>
      </c>
      <c r="J12" s="59">
        <v>293</v>
      </c>
      <c r="K12" s="59">
        <v>202</v>
      </c>
      <c r="L12" s="59">
        <v>186</v>
      </c>
    </row>
    <row r="13" spans="2:12" x14ac:dyDescent="0.2">
      <c r="B13" s="58" t="s">
        <v>19</v>
      </c>
      <c r="C13" s="59">
        <v>1332</v>
      </c>
      <c r="D13" s="59">
        <v>1306</v>
      </c>
      <c r="E13" s="59">
        <v>1359</v>
      </c>
      <c r="F13" s="59">
        <v>1300</v>
      </c>
      <c r="G13" s="59">
        <v>1349</v>
      </c>
      <c r="H13" s="59">
        <v>1377</v>
      </c>
      <c r="I13" s="59">
        <v>1278</v>
      </c>
      <c r="J13" s="59">
        <v>1247</v>
      </c>
      <c r="K13" s="59">
        <v>1114</v>
      </c>
      <c r="L13" s="59">
        <v>999</v>
      </c>
    </row>
    <row r="14" spans="2:12" x14ac:dyDescent="0.2">
      <c r="B14" s="58" t="s">
        <v>20</v>
      </c>
      <c r="C14" s="59">
        <v>563</v>
      </c>
      <c r="D14" s="59">
        <v>653</v>
      </c>
      <c r="E14" s="59">
        <v>648</v>
      </c>
      <c r="F14" s="59">
        <v>607</v>
      </c>
      <c r="G14" s="59">
        <v>679</v>
      </c>
      <c r="H14" s="59">
        <v>698</v>
      </c>
      <c r="I14" s="59">
        <v>591</v>
      </c>
      <c r="J14" s="59">
        <v>554</v>
      </c>
      <c r="K14" s="59">
        <v>572</v>
      </c>
      <c r="L14" s="59">
        <v>551</v>
      </c>
    </row>
    <row r="15" spans="2:12" x14ac:dyDescent="0.2">
      <c r="B15" s="58" t="s">
        <v>21</v>
      </c>
      <c r="C15" s="59">
        <v>342</v>
      </c>
      <c r="D15" s="59">
        <v>315</v>
      </c>
      <c r="E15" s="59">
        <v>391</v>
      </c>
      <c r="F15" s="59">
        <v>377</v>
      </c>
      <c r="G15" s="59">
        <v>391</v>
      </c>
      <c r="H15" s="59">
        <v>373</v>
      </c>
      <c r="I15" s="59">
        <v>351</v>
      </c>
      <c r="J15" s="59">
        <v>353</v>
      </c>
      <c r="K15" s="59">
        <v>271</v>
      </c>
      <c r="L15" s="59">
        <v>204</v>
      </c>
    </row>
    <row r="16" spans="2:12" x14ac:dyDescent="0.2">
      <c r="B16" s="58" t="s">
        <v>22</v>
      </c>
      <c r="C16" s="59">
        <v>202</v>
      </c>
      <c r="D16" s="59">
        <v>231</v>
      </c>
      <c r="E16" s="59">
        <v>229</v>
      </c>
      <c r="F16" s="59">
        <v>229</v>
      </c>
      <c r="G16" s="59">
        <v>230</v>
      </c>
      <c r="H16" s="59">
        <v>209</v>
      </c>
      <c r="I16" s="59">
        <v>204</v>
      </c>
      <c r="J16" s="59">
        <v>182</v>
      </c>
      <c r="K16" s="59">
        <v>161</v>
      </c>
      <c r="L16" s="59">
        <v>178</v>
      </c>
    </row>
    <row r="17" spans="2:12" x14ac:dyDescent="0.2">
      <c r="B17" s="58" t="s">
        <v>23</v>
      </c>
      <c r="C17" s="59">
        <v>561</v>
      </c>
      <c r="D17" s="59">
        <v>607</v>
      </c>
      <c r="E17" s="59">
        <v>621</v>
      </c>
      <c r="F17" s="59">
        <v>681</v>
      </c>
      <c r="G17" s="59">
        <v>681</v>
      </c>
      <c r="H17" s="59">
        <v>658</v>
      </c>
      <c r="I17" s="59">
        <v>604</v>
      </c>
      <c r="J17" s="59">
        <v>589</v>
      </c>
      <c r="K17" s="59">
        <v>587</v>
      </c>
      <c r="L17" s="59">
        <v>615</v>
      </c>
    </row>
    <row r="18" spans="2:12" x14ac:dyDescent="0.2">
      <c r="B18" s="58" t="s">
        <v>24</v>
      </c>
      <c r="C18" s="59">
        <v>448</v>
      </c>
      <c r="D18" s="59">
        <v>441</v>
      </c>
      <c r="E18" s="59">
        <v>510</v>
      </c>
      <c r="F18" s="59">
        <v>563</v>
      </c>
      <c r="G18" s="59">
        <v>597</v>
      </c>
      <c r="H18" s="59">
        <v>617</v>
      </c>
      <c r="I18" s="59">
        <v>654</v>
      </c>
      <c r="J18" s="59">
        <v>571</v>
      </c>
      <c r="K18" s="59">
        <v>624</v>
      </c>
      <c r="L18" s="59">
        <v>648</v>
      </c>
    </row>
    <row r="19" spans="2:12" x14ac:dyDescent="0.2">
      <c r="B19" s="58" t="s">
        <v>25</v>
      </c>
      <c r="C19" s="59">
        <v>419</v>
      </c>
      <c r="D19" s="59">
        <v>400</v>
      </c>
      <c r="E19" s="59">
        <v>394</v>
      </c>
      <c r="F19" s="59">
        <v>392</v>
      </c>
      <c r="G19" s="59">
        <v>391</v>
      </c>
      <c r="H19" s="59">
        <v>389</v>
      </c>
      <c r="I19" s="59">
        <v>403</v>
      </c>
      <c r="J19" s="59">
        <v>383</v>
      </c>
      <c r="K19" s="59">
        <v>352</v>
      </c>
      <c r="L19" s="59">
        <v>340</v>
      </c>
    </row>
    <row r="20" spans="2:12" x14ac:dyDescent="0.2">
      <c r="B20" s="61" t="s">
        <v>26</v>
      </c>
      <c r="C20" s="62">
        <v>1086</v>
      </c>
      <c r="D20" s="62">
        <v>1140</v>
      </c>
      <c r="E20" s="62">
        <v>1144</v>
      </c>
      <c r="F20" s="62">
        <v>1248</v>
      </c>
      <c r="G20" s="62">
        <v>1349</v>
      </c>
      <c r="H20" s="62">
        <v>1489</v>
      </c>
      <c r="I20" s="62">
        <v>1617</v>
      </c>
      <c r="J20" s="62">
        <v>1630</v>
      </c>
      <c r="K20" s="62">
        <v>1650</v>
      </c>
      <c r="L20" s="62">
        <v>1611</v>
      </c>
    </row>
    <row r="21" spans="2:12" x14ac:dyDescent="0.2">
      <c r="B21" s="20" t="s">
        <v>27</v>
      </c>
      <c r="C21" s="21">
        <f>SUBTOTAL(109,'Undergraduate Ethnicity Trend'!$C$7:$C$20)</f>
        <v>8559</v>
      </c>
      <c r="D21" s="21">
        <f>SUBTOTAL(109,'Undergraduate Ethnicity Trend'!$D$7:$D$20)</f>
        <v>8611</v>
      </c>
      <c r="E21" s="21">
        <f>SUBTOTAL(109,'Undergraduate Ethnicity Trend'!$E$7:$E$20)</f>
        <v>8868</v>
      </c>
      <c r="F21" s="21">
        <f>SUBTOTAL(109,'Undergraduate Ethnicity Trend'!$F$7:$F$20)</f>
        <v>9106</v>
      </c>
      <c r="G21" s="21">
        <f>SUBTOTAL(109,'Undergraduate Ethnicity Trend'!$G$7:$G$20)</f>
        <v>9449</v>
      </c>
      <c r="H21" s="21">
        <f>SUBTOTAL(109,'Undergraduate Ethnicity Trend'!$H$7:$H$20)</f>
        <v>9472</v>
      </c>
      <c r="I21" s="21">
        <f>SUBTOTAL(109,'Undergraduate Ethnicity Trend'!$I$7:$I$20)</f>
        <v>9359</v>
      </c>
      <c r="J21" s="21">
        <f>SUBTOTAL(109,'Undergraduate Ethnicity Trend'!$J$7:$J$20)</f>
        <v>9179</v>
      </c>
      <c r="K21" s="21">
        <f>SUBTOTAL(109,'Undergraduate Ethnicity Trend'!$K$7:$K$20)</f>
        <v>8572</v>
      </c>
      <c r="L21" s="21">
        <f>SUBTOTAL(109,'Undergraduate Ethnicity Trend'!$L$7:$L$20)</f>
        <v>8252</v>
      </c>
    </row>
    <row r="24" spans="2:12" ht="15" x14ac:dyDescent="0.2">
      <c r="B24" s="127" t="s">
        <v>68</v>
      </c>
      <c r="C24" s="127"/>
      <c r="D24" s="127"/>
      <c r="E24" s="127"/>
      <c r="F24" s="127"/>
      <c r="G24" s="127"/>
      <c r="H24" s="127"/>
      <c r="I24" s="127"/>
      <c r="J24" s="127"/>
      <c r="K24" s="127"/>
      <c r="L24" s="127"/>
    </row>
    <row r="25" spans="2:12" ht="30.95" customHeight="1" x14ac:dyDescent="0.2">
      <c r="B25" s="52" t="s">
        <v>1</v>
      </c>
      <c r="C25" s="52" t="str">
        <f>CONCATENATE(IF(RIGHT(Parameters!B1,1) = "1","Fall ", "Spring "),IF(RIGHT(Parameters!B1,1) = "1",LEFT(Parameters!B1,4) -9, LEFT(Parameters!B1,4) - 8))</f>
        <v>Fall 2010</v>
      </c>
      <c r="D25" s="52" t="str">
        <f>CONCATENATE(IF(RIGHT(Parameters!B1,1) = "1","Fall ", "Spring "),IF(RIGHT(Parameters!B1,1) = "1",LEFT(Parameters!B1,4) -8, LEFT(Parameters!B1,4) - 7))</f>
        <v>Fall 2011</v>
      </c>
      <c r="E25" s="52" t="str">
        <f>CONCATENATE(IF(RIGHT(Parameters!B1,1) = "1","Fall ", "Spring "),IF(RIGHT(Parameters!B1,1) = "1",LEFT(Parameters!B1,4) -7, LEFT(Parameters!B1,4) - 6))</f>
        <v>Fall 2012</v>
      </c>
      <c r="F25" s="52" t="str">
        <f>CONCATENATE(IF(RIGHT(Parameters!B1,1) = "1","Fall ", "Spring "),IF(RIGHT(Parameters!B1,1) = "1",LEFT(Parameters!B1,4) -6, LEFT(Parameters!B1,4) - 5))</f>
        <v>Fall 2013</v>
      </c>
      <c r="G25" s="52" t="str">
        <f>CONCATENATE(IF(RIGHT(Parameters!B1,1) = "1","Fall ", "Spring "),IF(RIGHT(Parameters!B1,1) = "1",LEFT(Parameters!B1,4) -5, LEFT(Parameters!B1,4) - 4))</f>
        <v>Fall 2014</v>
      </c>
      <c r="H25" s="52" t="str">
        <f>CONCATENATE(IF(RIGHT(Parameters!B1,1) = "1","Fall ", "Spring "),IF(RIGHT(Parameters!B1,1) = "1",LEFT(Parameters!B1,4) -4, LEFT(Parameters!B1,4) - 3))</f>
        <v>Fall 2015</v>
      </c>
      <c r="I25" s="52" t="str">
        <f>CONCATENATE(IF(RIGHT(Parameters!B1,1) = "1","Fall ", "Spring "),IF(RIGHT(Parameters!B1,1) = "1",LEFT(Parameters!B1,4) -3, LEFT(Parameters!B1,4) - 2))</f>
        <v>Fall 2016</v>
      </c>
      <c r="J25" s="52" t="str">
        <f>CONCATENATE(IF(RIGHT(Parameters!B1,1) = "1","Fall ", "Spring "),IF(RIGHT(Parameters!B1,1) = "1",LEFT(Parameters!B1,4) -2, LEFT(Parameters!B1,4) - 1))</f>
        <v>Fall 2017</v>
      </c>
      <c r="K25" s="52" t="str">
        <f>CONCATENATE(IF(RIGHT(Parameters!B1,1) = "1","Fall ", "Spring "),IF(RIGHT(Parameters!B1,1) = "1",LEFT(Parameters!B1,4) -1, LEFT(Parameters!B1,4) ))</f>
        <v>Fall 2018</v>
      </c>
      <c r="L25" s="52" t="str">
        <f>CONCATENATE(IF(RIGHT(Parameters!B1,1) = "1","Fall ", "Spring "),IF(RIGHT(Parameters!B1,1) = "1",LEFT(Parameters!B1,4), LEFT(Parameters!B1,4) + 1))</f>
        <v>Fall 2019</v>
      </c>
    </row>
    <row r="26" spans="2:12" ht="16.5" hidden="1" customHeight="1" x14ac:dyDescent="0.2">
      <c r="B26" s="63" t="s">
        <v>2</v>
      </c>
      <c r="C26" s="63" t="s">
        <v>3</v>
      </c>
      <c r="D26" s="63" t="s">
        <v>4</v>
      </c>
      <c r="E26" s="63" t="s">
        <v>5</v>
      </c>
      <c r="F26" s="63" t="s">
        <v>6</v>
      </c>
      <c r="G26" s="63" t="s">
        <v>7</v>
      </c>
      <c r="H26" s="63" t="s">
        <v>8</v>
      </c>
      <c r="I26" s="63" t="s">
        <v>9</v>
      </c>
      <c r="J26" s="63" t="s">
        <v>10</v>
      </c>
      <c r="K26" s="63" t="s">
        <v>11</v>
      </c>
      <c r="L26" s="63" t="s">
        <v>12</v>
      </c>
    </row>
    <row r="27" spans="2:12" x14ac:dyDescent="0.2">
      <c r="B27" s="56" t="s">
        <v>13</v>
      </c>
      <c r="C27" s="57">
        <v>317</v>
      </c>
      <c r="D27" s="57">
        <v>349</v>
      </c>
      <c r="E27" s="57">
        <v>370</v>
      </c>
      <c r="F27" s="57">
        <v>429</v>
      </c>
      <c r="G27" s="57">
        <v>473</v>
      </c>
      <c r="H27" s="57">
        <v>534</v>
      </c>
      <c r="I27" s="57">
        <v>599</v>
      </c>
      <c r="J27" s="57">
        <v>590</v>
      </c>
      <c r="K27" s="57">
        <v>576</v>
      </c>
      <c r="L27" s="57">
        <v>593</v>
      </c>
    </row>
    <row r="28" spans="2:12" x14ac:dyDescent="0.2">
      <c r="B28" s="58" t="s">
        <v>14</v>
      </c>
      <c r="C28" s="59">
        <v>128</v>
      </c>
      <c r="D28" s="59">
        <v>156</v>
      </c>
      <c r="E28" s="59">
        <v>158</v>
      </c>
      <c r="F28" s="59">
        <v>179</v>
      </c>
      <c r="G28" s="59">
        <v>181</v>
      </c>
      <c r="H28" s="59">
        <v>164</v>
      </c>
      <c r="I28" s="59">
        <v>160</v>
      </c>
      <c r="J28" s="59">
        <v>172</v>
      </c>
      <c r="K28" s="59">
        <v>178</v>
      </c>
      <c r="L28" s="59">
        <v>194</v>
      </c>
    </row>
    <row r="29" spans="2:12" x14ac:dyDescent="0.2">
      <c r="B29" s="58" t="s">
        <v>15</v>
      </c>
      <c r="C29" s="59">
        <v>10</v>
      </c>
      <c r="D29" s="59">
        <v>21</v>
      </c>
      <c r="E29" s="59">
        <v>41</v>
      </c>
      <c r="F29" s="59">
        <v>56</v>
      </c>
      <c r="G29" s="59">
        <v>37</v>
      </c>
      <c r="H29" s="59">
        <v>36</v>
      </c>
      <c r="I29" s="59">
        <v>39</v>
      </c>
      <c r="J29" s="59">
        <v>35</v>
      </c>
      <c r="K29" s="59">
        <v>40</v>
      </c>
      <c r="L29" s="59">
        <v>68</v>
      </c>
    </row>
    <row r="30" spans="2:12" x14ac:dyDescent="0.2">
      <c r="B30" s="58" t="s">
        <v>16</v>
      </c>
      <c r="C30" s="59">
        <v>75</v>
      </c>
      <c r="D30" s="59">
        <v>76</v>
      </c>
      <c r="E30" s="59">
        <v>82</v>
      </c>
      <c r="F30" s="59">
        <v>108</v>
      </c>
      <c r="G30" s="59">
        <v>106</v>
      </c>
      <c r="H30" s="59">
        <v>112</v>
      </c>
      <c r="I30" s="59">
        <v>114</v>
      </c>
      <c r="J30" s="59">
        <v>116</v>
      </c>
      <c r="K30" s="59">
        <v>108</v>
      </c>
      <c r="L30" s="59">
        <v>121</v>
      </c>
    </row>
    <row r="31" spans="2:12" x14ac:dyDescent="0.2">
      <c r="B31" s="58" t="s">
        <v>17</v>
      </c>
      <c r="C31" s="59">
        <v>439</v>
      </c>
      <c r="D31" s="59">
        <v>540</v>
      </c>
      <c r="E31" s="59">
        <v>558</v>
      </c>
      <c r="F31" s="59">
        <v>622</v>
      </c>
      <c r="G31" s="59">
        <v>655</v>
      </c>
      <c r="H31" s="59">
        <v>716</v>
      </c>
      <c r="I31" s="59">
        <v>685</v>
      </c>
      <c r="J31" s="59">
        <v>762</v>
      </c>
      <c r="K31" s="59">
        <v>699</v>
      </c>
      <c r="L31" s="59">
        <v>732</v>
      </c>
    </row>
    <row r="32" spans="2:12" x14ac:dyDescent="0.2">
      <c r="B32" s="58" t="s">
        <v>18</v>
      </c>
      <c r="C32" s="59">
        <v>131</v>
      </c>
      <c r="D32" s="59">
        <v>149</v>
      </c>
      <c r="E32" s="59">
        <v>160</v>
      </c>
      <c r="F32" s="59">
        <v>175</v>
      </c>
      <c r="G32" s="59">
        <v>172</v>
      </c>
      <c r="H32" s="59">
        <v>138</v>
      </c>
      <c r="I32" s="59">
        <v>144</v>
      </c>
      <c r="J32" s="59">
        <v>139</v>
      </c>
      <c r="K32" s="59">
        <v>126</v>
      </c>
      <c r="L32" s="59">
        <v>137</v>
      </c>
    </row>
    <row r="33" spans="2:12" x14ac:dyDescent="0.2">
      <c r="B33" s="58" t="s">
        <v>19</v>
      </c>
      <c r="C33" s="59">
        <v>277</v>
      </c>
      <c r="D33" s="59">
        <v>324</v>
      </c>
      <c r="E33" s="59">
        <v>372</v>
      </c>
      <c r="F33" s="59">
        <v>383</v>
      </c>
      <c r="G33" s="59">
        <v>442</v>
      </c>
      <c r="H33" s="59">
        <v>472</v>
      </c>
      <c r="I33" s="59">
        <v>479</v>
      </c>
      <c r="J33" s="59">
        <v>450</v>
      </c>
      <c r="K33" s="59">
        <v>427</v>
      </c>
      <c r="L33" s="59">
        <v>401</v>
      </c>
    </row>
    <row r="34" spans="2:12" x14ac:dyDescent="0.2">
      <c r="B34" s="58" t="s">
        <v>20</v>
      </c>
      <c r="C34" s="59">
        <v>488</v>
      </c>
      <c r="D34" s="59">
        <v>531</v>
      </c>
      <c r="E34" s="59">
        <v>547</v>
      </c>
      <c r="F34" s="59">
        <v>530</v>
      </c>
      <c r="G34" s="59">
        <v>621</v>
      </c>
      <c r="H34" s="59">
        <v>599</v>
      </c>
      <c r="I34" s="59">
        <v>626</v>
      </c>
      <c r="J34" s="59">
        <v>672</v>
      </c>
      <c r="K34" s="59">
        <v>652</v>
      </c>
      <c r="L34" s="59">
        <v>628</v>
      </c>
    </row>
    <row r="35" spans="2:12" x14ac:dyDescent="0.2">
      <c r="B35" s="58" t="s">
        <v>21</v>
      </c>
      <c r="C35" s="59">
        <v>108</v>
      </c>
      <c r="D35" s="59">
        <v>104</v>
      </c>
      <c r="E35" s="59">
        <v>108</v>
      </c>
      <c r="F35" s="59">
        <v>112</v>
      </c>
      <c r="G35" s="59">
        <v>88</v>
      </c>
      <c r="H35" s="59">
        <v>88</v>
      </c>
      <c r="I35" s="59">
        <v>90</v>
      </c>
      <c r="J35" s="59">
        <v>53</v>
      </c>
      <c r="K35" s="59">
        <v>37</v>
      </c>
      <c r="L35" s="59">
        <v>91</v>
      </c>
    </row>
    <row r="36" spans="2:12" x14ac:dyDescent="0.2">
      <c r="B36" s="58" t="s">
        <v>22</v>
      </c>
      <c r="C36" s="59">
        <v>67</v>
      </c>
      <c r="D36" s="59">
        <v>74</v>
      </c>
      <c r="E36" s="59">
        <v>79</v>
      </c>
      <c r="F36" s="59">
        <v>76</v>
      </c>
      <c r="G36" s="59">
        <v>83</v>
      </c>
      <c r="H36" s="59">
        <v>73</v>
      </c>
      <c r="I36" s="59">
        <v>72</v>
      </c>
      <c r="J36" s="59">
        <v>67</v>
      </c>
      <c r="K36" s="59">
        <v>53</v>
      </c>
      <c r="L36" s="59">
        <v>72</v>
      </c>
    </row>
    <row r="37" spans="2:12" x14ac:dyDescent="0.2">
      <c r="B37" s="58" t="s">
        <v>23</v>
      </c>
      <c r="C37" s="59">
        <v>397</v>
      </c>
      <c r="D37" s="59">
        <v>444</v>
      </c>
      <c r="E37" s="59">
        <v>492</v>
      </c>
      <c r="F37" s="59">
        <v>518</v>
      </c>
      <c r="G37" s="59">
        <v>572</v>
      </c>
      <c r="H37" s="59">
        <v>574</v>
      </c>
      <c r="I37" s="59">
        <v>609</v>
      </c>
      <c r="J37" s="59">
        <v>755</v>
      </c>
      <c r="K37" s="59">
        <v>734</v>
      </c>
      <c r="L37" s="59">
        <v>722</v>
      </c>
    </row>
    <row r="38" spans="2:12" x14ac:dyDescent="0.2">
      <c r="B38" s="58" t="s">
        <v>24</v>
      </c>
      <c r="C38" s="59">
        <v>170</v>
      </c>
      <c r="D38" s="59">
        <v>216</v>
      </c>
      <c r="E38" s="59">
        <v>227</v>
      </c>
      <c r="F38" s="59">
        <v>267</v>
      </c>
      <c r="G38" s="59">
        <v>298</v>
      </c>
      <c r="H38" s="59">
        <v>282</v>
      </c>
      <c r="I38" s="59">
        <v>311</v>
      </c>
      <c r="J38" s="59">
        <v>324</v>
      </c>
      <c r="K38" s="59">
        <v>326</v>
      </c>
      <c r="L38" s="59">
        <v>328</v>
      </c>
    </row>
    <row r="39" spans="2:12" x14ac:dyDescent="0.2">
      <c r="B39" s="58" t="s">
        <v>25</v>
      </c>
      <c r="C39" s="59">
        <v>118</v>
      </c>
      <c r="D39" s="59">
        <v>119</v>
      </c>
      <c r="E39" s="59">
        <v>134</v>
      </c>
      <c r="F39" s="59">
        <v>161</v>
      </c>
      <c r="G39" s="59">
        <v>163</v>
      </c>
      <c r="H39" s="59">
        <v>181</v>
      </c>
      <c r="I39" s="59">
        <v>177</v>
      </c>
      <c r="J39" s="59">
        <v>181</v>
      </c>
      <c r="K39" s="59">
        <v>198</v>
      </c>
      <c r="L39" s="59">
        <v>189</v>
      </c>
    </row>
    <row r="40" spans="2:12" x14ac:dyDescent="0.2">
      <c r="B40" s="61" t="s">
        <v>26</v>
      </c>
      <c r="C40" s="62">
        <v>435</v>
      </c>
      <c r="D40" s="62">
        <v>549</v>
      </c>
      <c r="E40" s="62">
        <v>614</v>
      </c>
      <c r="F40" s="62">
        <v>636</v>
      </c>
      <c r="G40" s="62">
        <v>690</v>
      </c>
      <c r="H40" s="62">
        <v>762</v>
      </c>
      <c r="I40" s="62">
        <v>791</v>
      </c>
      <c r="J40" s="62">
        <v>831</v>
      </c>
      <c r="K40" s="62">
        <v>869</v>
      </c>
      <c r="L40" s="62">
        <v>918</v>
      </c>
    </row>
    <row r="41" spans="2:12" x14ac:dyDescent="0.2">
      <c r="B41" s="20" t="s">
        <v>27</v>
      </c>
      <c r="C41" s="21">
        <f>SUBTOTAL(109,'Undergraduate Ethnicity Trend'!$C$27:$C$40)</f>
        <v>3160</v>
      </c>
      <c r="D41" s="21">
        <f>SUBTOTAL(109,'Undergraduate Ethnicity Trend'!$D$27:$D$40)</f>
        <v>3652</v>
      </c>
      <c r="E41" s="21">
        <f>SUBTOTAL(109,'Undergraduate Ethnicity Trend'!$E$27:$E$40)</f>
        <v>3942</v>
      </c>
      <c r="F41" s="21">
        <f>SUBTOTAL(109,'Undergraduate Ethnicity Trend'!$F$27:$F$40)</f>
        <v>4252</v>
      </c>
      <c r="G41" s="21">
        <f>SUBTOTAL(109,'Undergraduate Ethnicity Trend'!$G$27:$G$40)</f>
        <v>4581</v>
      </c>
      <c r="H41" s="21">
        <f>SUBTOTAL(109,'Undergraduate Ethnicity Trend'!$H$27:$H$40)</f>
        <v>4731</v>
      </c>
      <c r="I41" s="21">
        <f>SUBTOTAL(109,'Undergraduate Ethnicity Trend'!$I$27:$I$40)</f>
        <v>4896</v>
      </c>
      <c r="J41" s="21">
        <f>SUBTOTAL(109,'Undergraduate Ethnicity Trend'!$J$27:$J$40)</f>
        <v>5147</v>
      </c>
      <c r="K41" s="21">
        <f>SUBTOTAL(109,'Undergraduate Ethnicity Trend'!$K$27:$K$40)</f>
        <v>5023</v>
      </c>
      <c r="L41" s="21">
        <f>SUBTOTAL(109,'Undergraduate Ethnicity Trend'!$L$27:$L$40)</f>
        <v>5194</v>
      </c>
    </row>
    <row r="44" spans="2:12" ht="15" x14ac:dyDescent="0.2">
      <c r="B44" s="127" t="s">
        <v>69</v>
      </c>
      <c r="C44" s="127"/>
      <c r="D44" s="127"/>
      <c r="E44" s="127"/>
      <c r="F44" s="127"/>
      <c r="G44" s="127"/>
      <c r="H44" s="127"/>
      <c r="I44" s="127"/>
      <c r="J44" s="127"/>
      <c r="K44" s="127"/>
      <c r="L44" s="127"/>
    </row>
    <row r="45" spans="2:12" ht="30.95" customHeight="1" x14ac:dyDescent="0.2">
      <c r="B45" s="52" t="s">
        <v>1</v>
      </c>
      <c r="C45" s="52" t="str">
        <f>CONCATENATE(IF(RIGHT(Parameters!B1,1) = "1","Fall ", "Spring "),IF(RIGHT(Parameters!B1,1) = "1",LEFT(Parameters!B1,4) -9, LEFT(Parameters!B1,4) - 8))</f>
        <v>Fall 2010</v>
      </c>
      <c r="D45" s="52" t="str">
        <f>CONCATENATE(IF(RIGHT(Parameters!B1,1) = "1","Fall ", "Spring "),IF(RIGHT(Parameters!B1,1) = "1",LEFT(Parameters!B1,4) -8, LEFT(Parameters!B1,4) - 7))</f>
        <v>Fall 2011</v>
      </c>
      <c r="E45" s="52" t="str">
        <f>CONCATENATE(IF(RIGHT(Parameters!B1,1) = "1","Fall ", "Spring "),IF(RIGHT(Parameters!B1,1) = "1",LEFT(Parameters!B1,4) -7, LEFT(Parameters!B1,4) - 6))</f>
        <v>Fall 2012</v>
      </c>
      <c r="F45" s="52" t="str">
        <f>CONCATENATE(IF(RIGHT(Parameters!B1,1) = "1","Fall ", "Spring "),IF(RIGHT(Parameters!B1,1) = "1",LEFT(Parameters!B1,4) -6, LEFT(Parameters!B1,4) - 5))</f>
        <v>Fall 2013</v>
      </c>
      <c r="G45" s="52" t="str">
        <f>CONCATENATE(IF(RIGHT(Parameters!B1,1) = "1","Fall ", "Spring "),IF(RIGHT(Parameters!B1,1) = "1",LEFT(Parameters!B1,4) -5, LEFT(Parameters!B1,4) - 4))</f>
        <v>Fall 2014</v>
      </c>
      <c r="H45" s="52" t="str">
        <f>CONCATENATE(IF(RIGHT(Parameters!B1,1) = "1","Fall ", "Spring "),IF(RIGHT(Parameters!B1,1) = "1",LEFT(Parameters!B1,4) -4, LEFT(Parameters!B1,4) - 3))</f>
        <v>Fall 2015</v>
      </c>
      <c r="I45" s="52" t="str">
        <f>CONCATENATE(IF(RIGHT(Parameters!B1,1) = "1","Fall ", "Spring "),IF(RIGHT(Parameters!B1,1) = "1",LEFT(Parameters!B1,4) -3, LEFT(Parameters!B1,4) - 2))</f>
        <v>Fall 2016</v>
      </c>
      <c r="J45" s="52" t="str">
        <f>CONCATENATE(IF(RIGHT(Parameters!B1,1) = "1","Fall ", "Spring "),IF(RIGHT(Parameters!B1,1) = "1",LEFT(Parameters!B1,4) -2, LEFT(Parameters!B1,4) - 1))</f>
        <v>Fall 2017</v>
      </c>
      <c r="K45" s="52" t="str">
        <f>CONCATENATE(IF(RIGHT(Parameters!B1,1) = "1","Fall ", "Spring "),IF(RIGHT(Parameters!B1,1) = "1",LEFT(Parameters!B1,4) -1, LEFT(Parameters!B1,4) ))</f>
        <v>Fall 2018</v>
      </c>
      <c r="L45" s="52" t="str">
        <f>CONCATENATE(IF(RIGHT(Parameters!B1,1) = "1","Fall ", "Spring "),IF(RIGHT(Parameters!B1,1) = "1",LEFT(Parameters!B1,4), LEFT(Parameters!B1,4) + 1))</f>
        <v>Fall 2019</v>
      </c>
    </row>
    <row r="46" spans="2:12" ht="16.5" hidden="1" customHeight="1" x14ac:dyDescent="0.2">
      <c r="B46" s="26" t="s">
        <v>2</v>
      </c>
      <c r="C46" s="26" t="s">
        <v>3</v>
      </c>
      <c r="D46" s="26" t="s">
        <v>4</v>
      </c>
      <c r="E46" s="26" t="s">
        <v>5</v>
      </c>
      <c r="F46" s="26" t="s">
        <v>6</v>
      </c>
      <c r="G46" s="26" t="s">
        <v>7</v>
      </c>
      <c r="H46" s="26" t="s">
        <v>8</v>
      </c>
      <c r="I46" s="26" t="s">
        <v>9</v>
      </c>
      <c r="J46" s="26" t="s">
        <v>10</v>
      </c>
      <c r="K46" s="26" t="s">
        <v>11</v>
      </c>
      <c r="L46" s="26" t="s">
        <v>12</v>
      </c>
    </row>
    <row r="47" spans="2:12" x14ac:dyDescent="0.2">
      <c r="B47" s="56" t="s">
        <v>13</v>
      </c>
      <c r="C47" s="57">
        <v>99</v>
      </c>
      <c r="D47" s="57">
        <v>90</v>
      </c>
      <c r="E47" s="57">
        <v>78</v>
      </c>
      <c r="F47" s="57">
        <v>88</v>
      </c>
      <c r="G47" s="57">
        <v>100</v>
      </c>
      <c r="H47" s="57">
        <v>97</v>
      </c>
      <c r="I47" s="57">
        <v>104</v>
      </c>
      <c r="J47" s="57">
        <v>106</v>
      </c>
      <c r="K47" s="57">
        <v>97</v>
      </c>
      <c r="L47" s="57">
        <v>92</v>
      </c>
    </row>
    <row r="48" spans="2:12" x14ac:dyDescent="0.2">
      <c r="B48" s="58" t="s">
        <v>14</v>
      </c>
      <c r="C48" s="59">
        <v>37</v>
      </c>
      <c r="D48" s="59">
        <v>28</v>
      </c>
      <c r="E48" s="59">
        <v>31</v>
      </c>
      <c r="F48" s="59">
        <v>46</v>
      </c>
      <c r="G48" s="59">
        <v>43</v>
      </c>
      <c r="H48" s="59">
        <v>44</v>
      </c>
      <c r="I48" s="59">
        <v>51</v>
      </c>
      <c r="J48" s="59">
        <v>53</v>
      </c>
      <c r="K48" s="59">
        <v>62</v>
      </c>
      <c r="L48" s="59">
        <v>59</v>
      </c>
    </row>
    <row r="49" spans="2:12" x14ac:dyDescent="0.2">
      <c r="B49" s="58" t="s">
        <v>15</v>
      </c>
      <c r="C49" s="59">
        <v>0</v>
      </c>
      <c r="D49" s="59">
        <v>0</v>
      </c>
      <c r="E49" s="59">
        <v>0</v>
      </c>
      <c r="F49" s="59">
        <v>1</v>
      </c>
      <c r="G49" s="59">
        <v>1</v>
      </c>
      <c r="H49" s="59">
        <v>2</v>
      </c>
      <c r="I49" s="59">
        <v>0</v>
      </c>
      <c r="J49" s="59">
        <v>4</v>
      </c>
      <c r="K49" s="59">
        <v>2</v>
      </c>
      <c r="L49" s="59">
        <v>3</v>
      </c>
    </row>
    <row r="50" spans="2:12" x14ac:dyDescent="0.2">
      <c r="B50" s="58" t="s">
        <v>16</v>
      </c>
      <c r="C50" s="59">
        <v>32</v>
      </c>
      <c r="D50" s="59">
        <v>36</v>
      </c>
      <c r="E50" s="59">
        <v>24</v>
      </c>
      <c r="F50" s="59">
        <v>25</v>
      </c>
      <c r="G50" s="59">
        <v>31</v>
      </c>
      <c r="H50" s="59">
        <v>29</v>
      </c>
      <c r="I50" s="59">
        <v>29</v>
      </c>
      <c r="J50" s="59">
        <v>39</v>
      </c>
      <c r="K50" s="59">
        <v>41</v>
      </c>
      <c r="L50" s="59">
        <v>31</v>
      </c>
    </row>
    <row r="51" spans="2:12" x14ac:dyDescent="0.2">
      <c r="B51" s="58" t="s">
        <v>17</v>
      </c>
      <c r="C51" s="59">
        <v>90</v>
      </c>
      <c r="D51" s="59">
        <v>101</v>
      </c>
      <c r="E51" s="59">
        <v>95</v>
      </c>
      <c r="F51" s="59">
        <v>89</v>
      </c>
      <c r="G51" s="59">
        <v>103</v>
      </c>
      <c r="H51" s="59">
        <v>115</v>
      </c>
      <c r="I51" s="59">
        <v>115</v>
      </c>
      <c r="J51" s="59">
        <v>113</v>
      </c>
      <c r="K51" s="59">
        <v>96</v>
      </c>
      <c r="L51" s="59">
        <v>104</v>
      </c>
    </row>
    <row r="52" spans="2:12" x14ac:dyDescent="0.2">
      <c r="B52" s="58" t="s">
        <v>18</v>
      </c>
      <c r="C52" s="59">
        <v>52</v>
      </c>
      <c r="D52" s="59">
        <v>48</v>
      </c>
      <c r="E52" s="59">
        <v>50</v>
      </c>
      <c r="F52" s="59">
        <v>49</v>
      </c>
      <c r="G52" s="59">
        <v>50</v>
      </c>
      <c r="H52" s="59">
        <v>62</v>
      </c>
      <c r="I52" s="59">
        <v>64</v>
      </c>
      <c r="J52" s="59">
        <v>49</v>
      </c>
      <c r="K52" s="59">
        <v>35</v>
      </c>
      <c r="L52" s="59">
        <v>35</v>
      </c>
    </row>
    <row r="53" spans="2:12" x14ac:dyDescent="0.2">
      <c r="B53" s="58" t="s">
        <v>19</v>
      </c>
      <c r="C53" s="59">
        <v>130</v>
      </c>
      <c r="D53" s="59">
        <v>125</v>
      </c>
      <c r="E53" s="59">
        <v>123</v>
      </c>
      <c r="F53" s="59">
        <v>118</v>
      </c>
      <c r="G53" s="59">
        <v>113</v>
      </c>
      <c r="H53" s="59">
        <v>113</v>
      </c>
      <c r="I53" s="59">
        <v>116</v>
      </c>
      <c r="J53" s="59">
        <v>105</v>
      </c>
      <c r="K53" s="59">
        <v>105</v>
      </c>
      <c r="L53" s="59">
        <v>103</v>
      </c>
    </row>
    <row r="54" spans="2:12" x14ac:dyDescent="0.2">
      <c r="B54" s="58" t="s">
        <v>20</v>
      </c>
      <c r="C54" s="59">
        <v>107</v>
      </c>
      <c r="D54" s="59">
        <v>108</v>
      </c>
      <c r="E54" s="59">
        <v>119</v>
      </c>
      <c r="F54" s="59">
        <v>108</v>
      </c>
      <c r="G54" s="59">
        <v>90</v>
      </c>
      <c r="H54" s="59">
        <v>94</v>
      </c>
      <c r="I54" s="59">
        <v>83</v>
      </c>
      <c r="J54" s="59">
        <v>103</v>
      </c>
      <c r="K54" s="59">
        <v>125</v>
      </c>
      <c r="L54" s="59">
        <v>139</v>
      </c>
    </row>
    <row r="55" spans="2:12" x14ac:dyDescent="0.2">
      <c r="B55" s="58" t="s">
        <v>21</v>
      </c>
      <c r="C55" s="59">
        <v>37</v>
      </c>
      <c r="D55" s="59">
        <v>34</v>
      </c>
      <c r="E55" s="59">
        <v>37</v>
      </c>
      <c r="F55" s="59">
        <v>36</v>
      </c>
      <c r="G55" s="59">
        <v>39</v>
      </c>
      <c r="H55" s="59">
        <v>37</v>
      </c>
      <c r="I55" s="59">
        <v>46</v>
      </c>
      <c r="J55" s="59">
        <v>43</v>
      </c>
      <c r="K55" s="59">
        <v>45</v>
      </c>
      <c r="L55" s="59">
        <v>28</v>
      </c>
    </row>
    <row r="56" spans="2:12" x14ac:dyDescent="0.2">
      <c r="B56" s="58" t="s">
        <v>22</v>
      </c>
      <c r="C56" s="59">
        <v>27</v>
      </c>
      <c r="D56" s="59">
        <v>29</v>
      </c>
      <c r="E56" s="59">
        <v>35</v>
      </c>
      <c r="F56" s="59">
        <v>35</v>
      </c>
      <c r="G56" s="59">
        <v>25</v>
      </c>
      <c r="H56" s="59">
        <v>22</v>
      </c>
      <c r="I56" s="59">
        <v>17</v>
      </c>
      <c r="J56" s="59">
        <v>14</v>
      </c>
      <c r="K56" s="59">
        <v>10</v>
      </c>
      <c r="L56" s="59">
        <v>11</v>
      </c>
    </row>
    <row r="57" spans="2:12" x14ac:dyDescent="0.2">
      <c r="B57" s="58" t="s">
        <v>23</v>
      </c>
      <c r="C57" s="59">
        <v>104</v>
      </c>
      <c r="D57" s="59">
        <v>126</v>
      </c>
      <c r="E57" s="59">
        <v>148</v>
      </c>
      <c r="F57" s="59">
        <v>170</v>
      </c>
      <c r="G57" s="59">
        <v>165</v>
      </c>
      <c r="H57" s="59">
        <v>181</v>
      </c>
      <c r="I57" s="59">
        <v>191</v>
      </c>
      <c r="J57" s="59">
        <v>176</v>
      </c>
      <c r="K57" s="59">
        <v>193</v>
      </c>
      <c r="L57" s="59">
        <v>218</v>
      </c>
    </row>
    <row r="58" spans="2:12" x14ac:dyDescent="0.2">
      <c r="B58" s="58" t="s">
        <v>24</v>
      </c>
      <c r="C58" s="59">
        <v>89</v>
      </c>
      <c r="D58" s="59">
        <v>70</v>
      </c>
      <c r="E58" s="59">
        <v>65</v>
      </c>
      <c r="F58" s="59">
        <v>78</v>
      </c>
      <c r="G58" s="59">
        <v>87</v>
      </c>
      <c r="H58" s="59">
        <v>86</v>
      </c>
      <c r="I58" s="59">
        <v>95</v>
      </c>
      <c r="J58" s="59">
        <v>86</v>
      </c>
      <c r="K58" s="59">
        <v>85</v>
      </c>
      <c r="L58" s="59">
        <v>76</v>
      </c>
    </row>
    <row r="59" spans="2:12" x14ac:dyDescent="0.2">
      <c r="B59" s="58" t="s">
        <v>25</v>
      </c>
      <c r="C59" s="59">
        <v>46</v>
      </c>
      <c r="D59" s="59">
        <v>47</v>
      </c>
      <c r="E59" s="59">
        <v>38</v>
      </c>
      <c r="F59" s="59">
        <v>38</v>
      </c>
      <c r="G59" s="59">
        <v>54</v>
      </c>
      <c r="H59" s="59">
        <v>58</v>
      </c>
      <c r="I59" s="59">
        <v>60</v>
      </c>
      <c r="J59" s="59">
        <v>66</v>
      </c>
      <c r="K59" s="59">
        <v>70</v>
      </c>
      <c r="L59" s="59">
        <v>76</v>
      </c>
    </row>
    <row r="60" spans="2:12" x14ac:dyDescent="0.2">
      <c r="B60" s="61" t="s">
        <v>26</v>
      </c>
      <c r="C60" s="62">
        <v>246</v>
      </c>
      <c r="D60" s="62">
        <v>239</v>
      </c>
      <c r="E60" s="62">
        <v>252</v>
      </c>
      <c r="F60" s="62">
        <v>292</v>
      </c>
      <c r="G60" s="62">
        <v>294</v>
      </c>
      <c r="H60" s="62">
        <v>306</v>
      </c>
      <c r="I60" s="62">
        <v>328</v>
      </c>
      <c r="J60" s="62">
        <v>358</v>
      </c>
      <c r="K60" s="62">
        <v>367</v>
      </c>
      <c r="L60" s="62">
        <v>374</v>
      </c>
    </row>
    <row r="61" spans="2:12" x14ac:dyDescent="0.2">
      <c r="B61" s="20" t="s">
        <v>27</v>
      </c>
      <c r="C61" s="21">
        <f>SUBTOTAL(109,'Undergraduate Ethnicity Trend'!$C$47:$C$60)</f>
        <v>1096</v>
      </c>
      <c r="D61" s="21">
        <f>SUBTOTAL(109,'Undergraduate Ethnicity Trend'!$D$47:$D$60)</f>
        <v>1081</v>
      </c>
      <c r="E61" s="21">
        <f>SUBTOTAL(109,'Undergraduate Ethnicity Trend'!$E$47:$E$60)</f>
        <v>1095</v>
      </c>
      <c r="F61" s="21">
        <f>SUBTOTAL(109,'Undergraduate Ethnicity Trend'!$F$47:$F$60)</f>
        <v>1173</v>
      </c>
      <c r="G61" s="21">
        <f>SUBTOTAL(109,'Undergraduate Ethnicity Trend'!$G$47:$G$60)</f>
        <v>1195</v>
      </c>
      <c r="H61" s="21">
        <f>SUBTOTAL(109,'Undergraduate Ethnicity Trend'!$H$47:$H$60)</f>
        <v>1246</v>
      </c>
      <c r="I61" s="21">
        <f>SUBTOTAL(109,'Undergraduate Ethnicity Trend'!$I$47:$I$60)</f>
        <v>1299</v>
      </c>
      <c r="J61" s="21">
        <f>SUBTOTAL(109,'Undergraduate Ethnicity Trend'!$J$47:$J$60)</f>
        <v>1315</v>
      </c>
      <c r="K61" s="21">
        <f>SUBTOTAL(109,'Undergraduate Ethnicity Trend'!$K$47:$K$60)</f>
        <v>1333</v>
      </c>
      <c r="L61" s="21">
        <f>SUBTOTAL(109,'Undergraduate Ethnicity Trend'!$L$47:$L$60)</f>
        <v>1349</v>
      </c>
    </row>
    <row r="64" spans="2:12" ht="15" x14ac:dyDescent="0.2">
      <c r="B64" s="127" t="s">
        <v>70</v>
      </c>
      <c r="C64" s="127"/>
      <c r="D64" s="127"/>
      <c r="E64" s="127"/>
      <c r="F64" s="127"/>
      <c r="G64" s="127"/>
      <c r="H64" s="127"/>
      <c r="I64" s="127"/>
      <c r="J64" s="127"/>
      <c r="K64" s="127"/>
      <c r="L64" s="127"/>
    </row>
    <row r="65" spans="2:12" ht="30.95" customHeight="1" x14ac:dyDescent="0.2">
      <c r="B65" s="52" t="s">
        <v>1</v>
      </c>
      <c r="C65" s="52" t="str">
        <f>CONCATENATE(IF(RIGHT(Parameters!B1,1) = "1","Fall ", "Spring "),IF(RIGHT(Parameters!B1,1) = "1",LEFT(Parameters!B1,4) -9, LEFT(Parameters!B1,4) - 8))</f>
        <v>Fall 2010</v>
      </c>
      <c r="D65" s="52" t="str">
        <f>CONCATENATE(IF(RIGHT(Parameters!B1,1) = "1","Fall ", "Spring "),IF(RIGHT(Parameters!B1,1) = "1",LEFT(Parameters!B1,4) -8, LEFT(Parameters!B1,4) - 7))</f>
        <v>Fall 2011</v>
      </c>
      <c r="E65" s="52" t="str">
        <f>CONCATENATE(IF(RIGHT(Parameters!B1,1) = "1","Fall ", "Spring "),IF(RIGHT(Parameters!B1,1) = "1",LEFT(Parameters!B1,4) -7, LEFT(Parameters!B1,4) - 6))</f>
        <v>Fall 2012</v>
      </c>
      <c r="F65" s="52" t="str">
        <f>CONCATENATE(IF(RIGHT(Parameters!B1,1) = "1","Fall ", "Spring "),IF(RIGHT(Parameters!B1,1) = "1",LEFT(Parameters!B1,4) -6, LEFT(Parameters!B1,4) - 5))</f>
        <v>Fall 2013</v>
      </c>
      <c r="G65" s="52" t="str">
        <f>CONCATENATE(IF(RIGHT(Parameters!B1,1) = "1","Fall ", "Spring "),IF(RIGHT(Parameters!B1,1) = "1",LEFT(Parameters!B1,4) -5, LEFT(Parameters!B1,4) - 4))</f>
        <v>Fall 2014</v>
      </c>
      <c r="H65" s="52" t="str">
        <f>CONCATENATE(IF(RIGHT(Parameters!B1,1) = "1","Fall ", "Spring "),IF(RIGHT(Parameters!B1,1) = "1",LEFT(Parameters!B1,4) -4, LEFT(Parameters!B1,4) - 3))</f>
        <v>Fall 2015</v>
      </c>
      <c r="I65" s="52" t="str">
        <f>CONCATENATE(IF(RIGHT(Parameters!B1,1) = "1","Fall ", "Spring "),IF(RIGHT(Parameters!B1,1) = "1",LEFT(Parameters!B1,4) -3, LEFT(Parameters!B1,4) - 2))</f>
        <v>Fall 2016</v>
      </c>
      <c r="J65" s="52" t="str">
        <f>CONCATENATE(IF(RIGHT(Parameters!B1,1) = "1","Fall ", "Spring "),IF(RIGHT(Parameters!B1,1) = "1",LEFT(Parameters!B1,4) -2, LEFT(Parameters!B1,4) - 1))</f>
        <v>Fall 2017</v>
      </c>
      <c r="K65" s="52" t="str">
        <f>CONCATENATE(IF(RIGHT(Parameters!B1,1) = "1","Fall ", "Spring "),IF(RIGHT(Parameters!B1,1) = "1",LEFT(Parameters!B1,4) -1, LEFT(Parameters!B1,4) ))</f>
        <v>Fall 2018</v>
      </c>
      <c r="L65" s="52" t="str">
        <f>CONCATENATE(IF(RIGHT(Parameters!B1,1) = "1","Fall ", "Spring "),IF(RIGHT(Parameters!B1,1) = "1",LEFT(Parameters!B1,4), LEFT(Parameters!B1,4) + 1))</f>
        <v>Fall 2019</v>
      </c>
    </row>
    <row r="66" spans="2:12" ht="16.5" hidden="1" customHeight="1" x14ac:dyDescent="0.2">
      <c r="B66" s="26" t="s">
        <v>2</v>
      </c>
      <c r="C66" s="26" t="s">
        <v>3</v>
      </c>
      <c r="D66" s="26" t="s">
        <v>4</v>
      </c>
      <c r="E66" s="26" t="s">
        <v>5</v>
      </c>
      <c r="F66" s="26" t="s">
        <v>6</v>
      </c>
      <c r="G66" s="26" t="s">
        <v>7</v>
      </c>
      <c r="H66" s="26" t="s">
        <v>8</v>
      </c>
      <c r="I66" s="26" t="s">
        <v>9</v>
      </c>
      <c r="J66" s="26" t="s">
        <v>10</v>
      </c>
      <c r="K66" s="26" t="s">
        <v>11</v>
      </c>
      <c r="L66" s="26" t="s">
        <v>12</v>
      </c>
    </row>
    <row r="67" spans="2:12" x14ac:dyDescent="0.2">
      <c r="B67" s="56" t="s">
        <v>13</v>
      </c>
      <c r="C67" s="57">
        <v>3</v>
      </c>
      <c r="D67" s="57">
        <v>7</v>
      </c>
      <c r="E67" s="57">
        <v>6</v>
      </c>
      <c r="F67" s="57">
        <v>8</v>
      </c>
      <c r="G67" s="57">
        <v>10</v>
      </c>
      <c r="H67" s="57">
        <v>8</v>
      </c>
      <c r="I67" s="57">
        <v>6</v>
      </c>
      <c r="J67" s="57">
        <v>7</v>
      </c>
      <c r="K67" s="57">
        <v>4</v>
      </c>
      <c r="L67" s="57">
        <v>3</v>
      </c>
    </row>
    <row r="68" spans="2:12" x14ac:dyDescent="0.2">
      <c r="B68" s="58" t="s">
        <v>14</v>
      </c>
      <c r="C68" s="59">
        <v>0</v>
      </c>
      <c r="D68" s="59">
        <v>4</v>
      </c>
      <c r="E68" s="59">
        <v>5</v>
      </c>
      <c r="F68" s="59">
        <v>6</v>
      </c>
      <c r="G68" s="59">
        <v>7</v>
      </c>
      <c r="H68" s="59">
        <v>9</v>
      </c>
      <c r="I68" s="59">
        <v>7</v>
      </c>
      <c r="J68" s="59">
        <v>7</v>
      </c>
      <c r="K68" s="59">
        <v>7</v>
      </c>
      <c r="L68" s="59">
        <v>4</v>
      </c>
    </row>
    <row r="69" spans="2:12" x14ac:dyDescent="0.2">
      <c r="B69" s="58" t="s">
        <v>15</v>
      </c>
      <c r="C69" s="59">
        <v>0</v>
      </c>
      <c r="D69" s="59">
        <v>1</v>
      </c>
      <c r="E69" s="59">
        <v>0</v>
      </c>
      <c r="F69" s="59">
        <v>1</v>
      </c>
      <c r="G69" s="59">
        <v>1</v>
      </c>
      <c r="H69" s="59">
        <v>1</v>
      </c>
      <c r="I69" s="59">
        <v>0</v>
      </c>
      <c r="J69" s="59">
        <v>0</v>
      </c>
      <c r="K69" s="59">
        <v>0</v>
      </c>
      <c r="L69" s="59">
        <v>0</v>
      </c>
    </row>
    <row r="70" spans="2:12" x14ac:dyDescent="0.2">
      <c r="B70" s="58" t="s">
        <v>16</v>
      </c>
      <c r="C70" s="59">
        <v>0</v>
      </c>
      <c r="D70" s="59">
        <v>4</v>
      </c>
      <c r="E70" s="59">
        <v>4</v>
      </c>
      <c r="F70" s="59">
        <v>4</v>
      </c>
      <c r="G70" s="59">
        <v>4</v>
      </c>
      <c r="H70" s="59">
        <v>2</v>
      </c>
      <c r="I70" s="59">
        <v>6</v>
      </c>
      <c r="J70" s="59">
        <v>4</v>
      </c>
      <c r="K70" s="59">
        <v>5</v>
      </c>
      <c r="L70" s="59">
        <v>6</v>
      </c>
    </row>
    <row r="71" spans="2:12" x14ac:dyDescent="0.2">
      <c r="B71" s="58" t="s">
        <v>17</v>
      </c>
      <c r="C71" s="59">
        <v>7</v>
      </c>
      <c r="D71" s="59">
        <v>27</v>
      </c>
      <c r="E71" s="59">
        <v>23</v>
      </c>
      <c r="F71" s="59">
        <v>15</v>
      </c>
      <c r="G71" s="59">
        <v>9</v>
      </c>
      <c r="H71" s="59">
        <v>9</v>
      </c>
      <c r="I71" s="59">
        <v>7</v>
      </c>
      <c r="J71" s="59">
        <v>7</v>
      </c>
      <c r="K71" s="59">
        <v>9</v>
      </c>
      <c r="L71" s="59">
        <v>10</v>
      </c>
    </row>
    <row r="72" spans="2:12" x14ac:dyDescent="0.2">
      <c r="B72" s="58" t="s">
        <v>18</v>
      </c>
      <c r="C72" s="59">
        <v>10</v>
      </c>
      <c r="D72" s="59">
        <v>11</v>
      </c>
      <c r="E72" s="59">
        <v>7</v>
      </c>
      <c r="F72" s="59">
        <v>3</v>
      </c>
      <c r="G72" s="59">
        <v>5</v>
      </c>
      <c r="H72" s="59">
        <v>1</v>
      </c>
      <c r="I72" s="59">
        <v>1</v>
      </c>
      <c r="J72" s="59">
        <v>1</v>
      </c>
      <c r="K72" s="59">
        <v>2</v>
      </c>
      <c r="L72" s="59">
        <v>0</v>
      </c>
    </row>
    <row r="73" spans="2:12" x14ac:dyDescent="0.2">
      <c r="B73" s="58" t="s">
        <v>19</v>
      </c>
      <c r="C73" s="59">
        <v>1</v>
      </c>
      <c r="D73" s="59">
        <v>1</v>
      </c>
      <c r="E73" s="59">
        <v>1</v>
      </c>
      <c r="F73" s="59">
        <v>3</v>
      </c>
      <c r="G73" s="59">
        <v>4</v>
      </c>
      <c r="H73" s="59">
        <v>3</v>
      </c>
      <c r="I73" s="59">
        <v>4</v>
      </c>
      <c r="J73" s="59">
        <v>3</v>
      </c>
      <c r="K73" s="59">
        <v>2</v>
      </c>
      <c r="L73" s="59">
        <v>2</v>
      </c>
    </row>
    <row r="74" spans="2:12" x14ac:dyDescent="0.2">
      <c r="B74" s="58" t="s">
        <v>20</v>
      </c>
      <c r="C74" s="59">
        <v>2</v>
      </c>
      <c r="D74" s="59">
        <v>2</v>
      </c>
      <c r="E74" s="59">
        <v>5</v>
      </c>
      <c r="F74" s="59">
        <v>10</v>
      </c>
      <c r="G74" s="59">
        <v>15</v>
      </c>
      <c r="H74" s="59">
        <v>15</v>
      </c>
      <c r="I74" s="59">
        <v>8</v>
      </c>
      <c r="J74" s="59">
        <v>8</v>
      </c>
      <c r="K74" s="59">
        <v>7</v>
      </c>
      <c r="L74" s="59">
        <v>4</v>
      </c>
    </row>
    <row r="75" spans="2:12" x14ac:dyDescent="0.2">
      <c r="B75" s="58" t="s">
        <v>21</v>
      </c>
      <c r="C75" s="59">
        <v>1</v>
      </c>
      <c r="D75" s="59">
        <v>0</v>
      </c>
      <c r="E75" s="59">
        <v>1</v>
      </c>
      <c r="F75" s="59">
        <v>0</v>
      </c>
      <c r="G75" s="59">
        <v>0</v>
      </c>
      <c r="H75" s="59">
        <v>0</v>
      </c>
      <c r="I75" s="59">
        <v>0</v>
      </c>
      <c r="J75" s="59">
        <v>2</v>
      </c>
      <c r="K75" s="59">
        <v>1</v>
      </c>
      <c r="L75" s="59">
        <v>4</v>
      </c>
    </row>
    <row r="76" spans="2:12" x14ac:dyDescent="0.2">
      <c r="B76" s="58" t="s">
        <v>22</v>
      </c>
      <c r="C76" s="59">
        <v>1</v>
      </c>
      <c r="D76" s="59">
        <v>1</v>
      </c>
      <c r="E76" s="59">
        <v>2</v>
      </c>
      <c r="F76" s="59">
        <v>3</v>
      </c>
      <c r="G76" s="59">
        <v>2</v>
      </c>
      <c r="H76" s="59">
        <v>1</v>
      </c>
      <c r="I76" s="59">
        <v>1</v>
      </c>
      <c r="J76" s="59">
        <v>1</v>
      </c>
      <c r="K76" s="59">
        <v>2</v>
      </c>
      <c r="L76" s="59">
        <v>2</v>
      </c>
    </row>
    <row r="77" spans="2:12" x14ac:dyDescent="0.2">
      <c r="B77" s="58" t="s">
        <v>23</v>
      </c>
      <c r="C77" s="59">
        <v>6</v>
      </c>
      <c r="D77" s="59">
        <v>10</v>
      </c>
      <c r="E77" s="59">
        <v>8</v>
      </c>
      <c r="F77" s="59">
        <v>5</v>
      </c>
      <c r="G77" s="59">
        <v>5</v>
      </c>
      <c r="H77" s="59">
        <v>7</v>
      </c>
      <c r="I77" s="59">
        <v>7</v>
      </c>
      <c r="J77" s="59">
        <v>10</v>
      </c>
      <c r="K77" s="59">
        <v>4</v>
      </c>
      <c r="L77" s="59">
        <v>2</v>
      </c>
    </row>
    <row r="78" spans="2:12" x14ac:dyDescent="0.2">
      <c r="B78" s="58" t="s">
        <v>24</v>
      </c>
      <c r="C78" s="59">
        <v>6</v>
      </c>
      <c r="D78" s="59">
        <v>8</v>
      </c>
      <c r="E78" s="59">
        <v>6</v>
      </c>
      <c r="F78" s="59">
        <v>6</v>
      </c>
      <c r="G78" s="59">
        <v>4</v>
      </c>
      <c r="H78" s="59">
        <v>6</v>
      </c>
      <c r="I78" s="59">
        <v>4</v>
      </c>
      <c r="J78" s="59">
        <v>2</v>
      </c>
      <c r="K78" s="59">
        <v>2</v>
      </c>
      <c r="L78" s="59">
        <v>0</v>
      </c>
    </row>
    <row r="79" spans="2:12" x14ac:dyDescent="0.2">
      <c r="B79" s="58" t="s">
        <v>25</v>
      </c>
      <c r="C79" s="59">
        <v>0</v>
      </c>
      <c r="D79" s="59">
        <v>1</v>
      </c>
      <c r="E79" s="59">
        <v>2</v>
      </c>
      <c r="F79" s="59">
        <v>2</v>
      </c>
      <c r="G79" s="59">
        <v>4</v>
      </c>
      <c r="H79" s="59">
        <v>4</v>
      </c>
      <c r="I79" s="59">
        <v>7</v>
      </c>
      <c r="J79" s="59">
        <v>8</v>
      </c>
      <c r="K79" s="59">
        <v>5</v>
      </c>
      <c r="L79" s="59">
        <v>4</v>
      </c>
    </row>
    <row r="80" spans="2:12" x14ac:dyDescent="0.2">
      <c r="B80" s="61" t="s">
        <v>26</v>
      </c>
      <c r="C80" s="62">
        <v>4</v>
      </c>
      <c r="D80" s="62">
        <v>3</v>
      </c>
      <c r="E80" s="62">
        <v>7</v>
      </c>
      <c r="F80" s="62">
        <v>8</v>
      </c>
      <c r="G80" s="62">
        <v>14</v>
      </c>
      <c r="H80" s="62">
        <v>17</v>
      </c>
      <c r="I80" s="62">
        <v>16</v>
      </c>
      <c r="J80" s="62">
        <v>14</v>
      </c>
      <c r="K80" s="62">
        <v>9</v>
      </c>
      <c r="L80" s="62">
        <v>9</v>
      </c>
    </row>
    <row r="81" spans="2:12" x14ac:dyDescent="0.2">
      <c r="B81" s="20" t="s">
        <v>27</v>
      </c>
      <c r="C81" s="21">
        <f>SUBTOTAL(109,'Undergraduate Ethnicity Trend'!$C$67:$C$80)</f>
        <v>41</v>
      </c>
      <c r="D81" s="21">
        <f>SUBTOTAL(109,'Undergraduate Ethnicity Trend'!$D$67:$D$80)</f>
        <v>80</v>
      </c>
      <c r="E81" s="21">
        <f>SUBTOTAL(109,'Undergraduate Ethnicity Trend'!$E$67:$E$80)</f>
        <v>77</v>
      </c>
      <c r="F81" s="21">
        <f>SUBTOTAL(109,'Undergraduate Ethnicity Trend'!$F$67:$F$80)</f>
        <v>74</v>
      </c>
      <c r="G81" s="21">
        <f>SUBTOTAL(109,'Undergraduate Ethnicity Trend'!$G$67:$G$80)</f>
        <v>84</v>
      </c>
      <c r="H81" s="21">
        <f>SUBTOTAL(109,'Undergraduate Ethnicity Trend'!$H$67:$H$80)</f>
        <v>83</v>
      </c>
      <c r="I81" s="21">
        <f>SUBTOTAL(109,'Undergraduate Ethnicity Trend'!$I$67:$I$80)</f>
        <v>74</v>
      </c>
      <c r="J81" s="21">
        <f>SUBTOTAL(109,'Undergraduate Ethnicity Trend'!$J$67:$J$80)</f>
        <v>74</v>
      </c>
      <c r="K81" s="21">
        <f>SUBTOTAL(109,'Undergraduate Ethnicity Trend'!$K$67:$K$80)</f>
        <v>59</v>
      </c>
      <c r="L81" s="21">
        <f>SUBTOTAL(109,'Undergraduate Ethnicity Trend'!$L$67:$L$80)</f>
        <v>50</v>
      </c>
    </row>
    <row r="84" spans="2:12" ht="15" x14ac:dyDescent="0.2">
      <c r="B84" s="127" t="s">
        <v>71</v>
      </c>
      <c r="C84" s="127"/>
      <c r="D84" s="127"/>
      <c r="E84" s="127"/>
      <c r="F84" s="127"/>
      <c r="G84" s="127"/>
      <c r="H84" s="127"/>
      <c r="I84" s="127"/>
      <c r="J84" s="127"/>
      <c r="K84" s="127"/>
      <c r="L84" s="127"/>
    </row>
    <row r="85" spans="2:12" ht="30.95" customHeight="1" x14ac:dyDescent="0.2">
      <c r="B85" s="52" t="s">
        <v>1</v>
      </c>
      <c r="C85" s="52" t="str">
        <f>CONCATENATE(IF(RIGHT(Parameters!B1,1) = "1","Fall ", "Spring "),IF(RIGHT(Parameters!B1,1) = "1",LEFT(Parameters!B1,4) -9, LEFT(Parameters!B1,4) - 8))</f>
        <v>Fall 2010</v>
      </c>
      <c r="D85" s="52" t="str">
        <f>CONCATENATE(IF(RIGHT(Parameters!B1,1) = "1","Fall ", "Spring "),IF(RIGHT(Parameters!B1,1) = "1",LEFT(Parameters!B1,4) -8, LEFT(Parameters!B1,4) - 7))</f>
        <v>Fall 2011</v>
      </c>
      <c r="E85" s="52" t="str">
        <f>CONCATENATE(IF(RIGHT(Parameters!B1,1) = "1","Fall ", "Spring "),IF(RIGHT(Parameters!B1,1) = "1",LEFT(Parameters!B1,4) -7, LEFT(Parameters!B1,4) - 6))</f>
        <v>Fall 2012</v>
      </c>
      <c r="F85" s="52" t="str">
        <f>CONCATENATE(IF(RIGHT(Parameters!B1,1) = "1","Fall ", "Spring "),IF(RIGHT(Parameters!B1,1) = "1",LEFT(Parameters!B1,4) -6, LEFT(Parameters!B1,4) - 5))</f>
        <v>Fall 2013</v>
      </c>
      <c r="G85" s="52" t="str">
        <f>CONCATENATE(IF(RIGHT(Parameters!B1,1) = "1","Fall ", "Spring "),IF(RIGHT(Parameters!B1,1) = "1",LEFT(Parameters!B1,4) -5, LEFT(Parameters!B1,4) - 4))</f>
        <v>Fall 2014</v>
      </c>
      <c r="H85" s="52" t="str">
        <f>CONCATENATE(IF(RIGHT(Parameters!B1,1) = "1","Fall ", "Spring "),IF(RIGHT(Parameters!B1,1) = "1",LEFT(Parameters!B1,4) -4, LEFT(Parameters!B1,4) - 3))</f>
        <v>Fall 2015</v>
      </c>
      <c r="I85" s="52" t="str">
        <f>CONCATENATE(IF(RIGHT(Parameters!B1,1) = "1","Fall ", "Spring "),IF(RIGHT(Parameters!B1,1) = "1",LEFT(Parameters!B1,4) -3, LEFT(Parameters!B1,4) - 2))</f>
        <v>Fall 2016</v>
      </c>
      <c r="J85" s="52" t="str">
        <f>CONCATENATE(IF(RIGHT(Parameters!B1,1) = "1","Fall ", "Spring "),IF(RIGHT(Parameters!B1,1) = "1",LEFT(Parameters!B1,4) -2, LEFT(Parameters!B1,4) - 1))</f>
        <v>Fall 2017</v>
      </c>
      <c r="K85" s="52" t="str">
        <f>CONCATENATE(IF(RIGHT(Parameters!B1,1) = "1","Fall ", "Spring "),IF(RIGHT(Parameters!B1,1) = "1",LEFT(Parameters!B1,4) -1, LEFT(Parameters!B1,4) ))</f>
        <v>Fall 2018</v>
      </c>
      <c r="L85" s="52" t="str">
        <f>CONCATENATE(IF(RIGHT(Parameters!B1,1) = "1","Fall ", "Spring "),IF(RIGHT(Parameters!B1,1) = "1",LEFT(Parameters!B1,4), LEFT(Parameters!B1,4) + 1))</f>
        <v>Fall 2019</v>
      </c>
    </row>
    <row r="86" spans="2:12" ht="16.5" hidden="1" customHeight="1" x14ac:dyDescent="0.2">
      <c r="B86" s="26" t="s">
        <v>2</v>
      </c>
      <c r="C86" s="26" t="s">
        <v>3</v>
      </c>
      <c r="D86" s="26" t="s">
        <v>4</v>
      </c>
      <c r="E86" s="26" t="s">
        <v>5</v>
      </c>
      <c r="F86" s="26" t="s">
        <v>6</v>
      </c>
      <c r="G86" s="26" t="s">
        <v>7</v>
      </c>
      <c r="H86" s="26" t="s">
        <v>8</v>
      </c>
      <c r="I86" s="26" t="s">
        <v>9</v>
      </c>
      <c r="J86" s="26" t="s">
        <v>10</v>
      </c>
      <c r="K86" s="26" t="s">
        <v>11</v>
      </c>
      <c r="L86" s="26" t="s">
        <v>12</v>
      </c>
    </row>
    <row r="87" spans="2:12" x14ac:dyDescent="0.2">
      <c r="B87" s="56" t="s">
        <v>13</v>
      </c>
      <c r="C87" s="57">
        <v>15</v>
      </c>
      <c r="D87" s="57">
        <v>11</v>
      </c>
      <c r="E87" s="57">
        <v>7</v>
      </c>
      <c r="F87" s="57">
        <v>7</v>
      </c>
      <c r="G87" s="57">
        <v>7</v>
      </c>
      <c r="H87" s="57">
        <v>9</v>
      </c>
      <c r="I87" s="57">
        <v>19</v>
      </c>
      <c r="J87" s="57">
        <v>20</v>
      </c>
      <c r="K87" s="57">
        <v>19</v>
      </c>
      <c r="L87" s="57">
        <v>23</v>
      </c>
    </row>
    <row r="88" spans="2:12" x14ac:dyDescent="0.2">
      <c r="B88" s="58" t="s">
        <v>14</v>
      </c>
      <c r="C88" s="59">
        <v>34</v>
      </c>
      <c r="D88" s="59">
        <v>8</v>
      </c>
      <c r="E88" s="59">
        <v>8</v>
      </c>
      <c r="F88" s="59">
        <v>7</v>
      </c>
      <c r="G88" s="59">
        <v>8</v>
      </c>
      <c r="H88" s="59">
        <v>14</v>
      </c>
      <c r="I88" s="59">
        <v>11</v>
      </c>
      <c r="J88" s="59">
        <v>15</v>
      </c>
      <c r="K88" s="59">
        <v>10</v>
      </c>
      <c r="L88" s="59">
        <v>5</v>
      </c>
    </row>
    <row r="89" spans="2:12" x14ac:dyDescent="0.2">
      <c r="B89" s="58" t="s">
        <v>15</v>
      </c>
      <c r="C89" s="59">
        <v>0</v>
      </c>
      <c r="D89" s="59">
        <v>1</v>
      </c>
      <c r="E89" s="59">
        <v>0</v>
      </c>
      <c r="F89" s="59">
        <v>4</v>
      </c>
      <c r="G89" s="59">
        <v>1</v>
      </c>
      <c r="H89" s="59">
        <v>2</v>
      </c>
      <c r="I89" s="59">
        <v>2</v>
      </c>
      <c r="J89" s="59">
        <v>2</v>
      </c>
      <c r="K89" s="59">
        <v>2</v>
      </c>
      <c r="L89" s="59">
        <v>1</v>
      </c>
    </row>
    <row r="90" spans="2:12" x14ac:dyDescent="0.2">
      <c r="B90" s="58" t="s">
        <v>16</v>
      </c>
      <c r="C90" s="59">
        <v>21</v>
      </c>
      <c r="D90" s="59">
        <v>11</v>
      </c>
      <c r="E90" s="59">
        <v>8</v>
      </c>
      <c r="F90" s="59">
        <v>7</v>
      </c>
      <c r="G90" s="59">
        <v>7</v>
      </c>
      <c r="H90" s="59">
        <v>8</v>
      </c>
      <c r="I90" s="59">
        <v>8</v>
      </c>
      <c r="J90" s="59">
        <v>6</v>
      </c>
      <c r="K90" s="59">
        <v>8</v>
      </c>
      <c r="L90" s="59">
        <v>8</v>
      </c>
    </row>
    <row r="91" spans="2:12" x14ac:dyDescent="0.2">
      <c r="B91" s="58" t="s">
        <v>17</v>
      </c>
      <c r="C91" s="59">
        <v>17</v>
      </c>
      <c r="D91" s="59">
        <v>20</v>
      </c>
      <c r="E91" s="59">
        <v>14</v>
      </c>
      <c r="F91" s="59">
        <v>13</v>
      </c>
      <c r="G91" s="59">
        <v>10</v>
      </c>
      <c r="H91" s="59">
        <v>9</v>
      </c>
      <c r="I91" s="59">
        <v>10</v>
      </c>
      <c r="J91" s="59">
        <v>9</v>
      </c>
      <c r="K91" s="59">
        <v>15</v>
      </c>
      <c r="L91" s="59">
        <v>14</v>
      </c>
    </row>
    <row r="92" spans="2:12" x14ac:dyDescent="0.2">
      <c r="B92" s="58" t="s">
        <v>18</v>
      </c>
      <c r="C92" s="59">
        <v>20</v>
      </c>
      <c r="D92" s="59">
        <v>14</v>
      </c>
      <c r="E92" s="59">
        <v>15</v>
      </c>
      <c r="F92" s="59">
        <v>11</v>
      </c>
      <c r="G92" s="59">
        <v>11</v>
      </c>
      <c r="H92" s="59">
        <v>11</v>
      </c>
      <c r="I92" s="59">
        <v>8</v>
      </c>
      <c r="J92" s="59">
        <v>11</v>
      </c>
      <c r="K92" s="59">
        <v>8</v>
      </c>
      <c r="L92" s="59">
        <v>9</v>
      </c>
    </row>
    <row r="93" spans="2:12" x14ac:dyDescent="0.2">
      <c r="B93" s="58" t="s">
        <v>19</v>
      </c>
      <c r="C93" s="59">
        <v>29</v>
      </c>
      <c r="D93" s="59">
        <v>22</v>
      </c>
      <c r="E93" s="59">
        <v>16</v>
      </c>
      <c r="F93" s="59">
        <v>12</v>
      </c>
      <c r="G93" s="59">
        <v>16</v>
      </c>
      <c r="H93" s="59">
        <v>14</v>
      </c>
      <c r="I93" s="59">
        <v>8</v>
      </c>
      <c r="J93" s="59">
        <v>5</v>
      </c>
      <c r="K93" s="59">
        <v>8</v>
      </c>
      <c r="L93" s="59">
        <v>10</v>
      </c>
    </row>
    <row r="94" spans="2:12" x14ac:dyDescent="0.2">
      <c r="B94" s="58" t="s">
        <v>20</v>
      </c>
      <c r="C94" s="59">
        <v>28</v>
      </c>
      <c r="D94" s="59">
        <v>28</v>
      </c>
      <c r="E94" s="59">
        <v>17</v>
      </c>
      <c r="F94" s="59">
        <v>14</v>
      </c>
      <c r="G94" s="59">
        <v>14</v>
      </c>
      <c r="H94" s="59">
        <v>10</v>
      </c>
      <c r="I94" s="59">
        <v>11</v>
      </c>
      <c r="J94" s="59">
        <v>13</v>
      </c>
      <c r="K94" s="59">
        <v>14</v>
      </c>
      <c r="L94" s="59">
        <v>10</v>
      </c>
    </row>
    <row r="95" spans="2:12" x14ac:dyDescent="0.2">
      <c r="B95" s="58" t="s">
        <v>21</v>
      </c>
      <c r="C95" s="59">
        <v>8</v>
      </c>
      <c r="D95" s="59">
        <v>7</v>
      </c>
      <c r="E95" s="59">
        <v>16</v>
      </c>
      <c r="F95" s="59">
        <v>10</v>
      </c>
      <c r="G95" s="59">
        <v>10</v>
      </c>
      <c r="H95" s="59">
        <v>21</v>
      </c>
      <c r="I95" s="59">
        <v>18</v>
      </c>
      <c r="J95" s="59">
        <v>25</v>
      </c>
      <c r="K95" s="59">
        <v>21</v>
      </c>
      <c r="L95" s="59">
        <v>7</v>
      </c>
    </row>
    <row r="96" spans="2:12" x14ac:dyDescent="0.2">
      <c r="B96" s="58" t="s">
        <v>22</v>
      </c>
      <c r="C96" s="59">
        <v>20</v>
      </c>
      <c r="D96" s="59">
        <v>15</v>
      </c>
      <c r="E96" s="59">
        <v>16</v>
      </c>
      <c r="F96" s="59">
        <v>8</v>
      </c>
      <c r="G96" s="59">
        <v>9</v>
      </c>
      <c r="H96" s="59">
        <v>6</v>
      </c>
      <c r="I96" s="59">
        <v>2</v>
      </c>
      <c r="J96" s="59">
        <v>3</v>
      </c>
      <c r="K96" s="59">
        <v>4</v>
      </c>
      <c r="L96" s="59">
        <v>4</v>
      </c>
    </row>
    <row r="97" spans="2:12" x14ac:dyDescent="0.2">
      <c r="B97" s="58" t="s">
        <v>23</v>
      </c>
      <c r="C97" s="59">
        <v>16</v>
      </c>
      <c r="D97" s="59">
        <v>15</v>
      </c>
      <c r="E97" s="59">
        <v>14</v>
      </c>
      <c r="F97" s="59">
        <v>11</v>
      </c>
      <c r="G97" s="59">
        <v>13</v>
      </c>
      <c r="H97" s="59">
        <v>10</v>
      </c>
      <c r="I97" s="59">
        <v>13</v>
      </c>
      <c r="J97" s="59">
        <v>19</v>
      </c>
      <c r="K97" s="59">
        <v>24</v>
      </c>
      <c r="L97" s="59">
        <v>31</v>
      </c>
    </row>
    <row r="98" spans="2:12" x14ac:dyDescent="0.2">
      <c r="B98" s="58" t="s">
        <v>24</v>
      </c>
      <c r="C98" s="59">
        <v>13</v>
      </c>
      <c r="D98" s="59">
        <v>12</v>
      </c>
      <c r="E98" s="59">
        <v>10</v>
      </c>
      <c r="F98" s="59">
        <v>8</v>
      </c>
      <c r="G98" s="59">
        <v>8</v>
      </c>
      <c r="H98" s="59">
        <v>9</v>
      </c>
      <c r="I98" s="59">
        <v>10</v>
      </c>
      <c r="J98" s="59">
        <v>9</v>
      </c>
      <c r="K98" s="59">
        <v>7</v>
      </c>
      <c r="L98" s="59">
        <v>4</v>
      </c>
    </row>
    <row r="99" spans="2:12" x14ac:dyDescent="0.2">
      <c r="B99" s="58" t="s">
        <v>25</v>
      </c>
      <c r="C99" s="59">
        <v>9</v>
      </c>
      <c r="D99" s="59">
        <v>9</v>
      </c>
      <c r="E99" s="59">
        <v>8</v>
      </c>
      <c r="F99" s="59">
        <v>8</v>
      </c>
      <c r="G99" s="59">
        <v>10</v>
      </c>
      <c r="H99" s="59">
        <v>13</v>
      </c>
      <c r="I99" s="59">
        <v>18</v>
      </c>
      <c r="J99" s="59">
        <v>16</v>
      </c>
      <c r="K99" s="59">
        <v>16</v>
      </c>
      <c r="L99" s="59">
        <v>9</v>
      </c>
    </row>
    <row r="100" spans="2:12" x14ac:dyDescent="0.2">
      <c r="B100" s="61" t="s">
        <v>26</v>
      </c>
      <c r="C100" s="62">
        <v>34</v>
      </c>
      <c r="D100" s="62">
        <v>26</v>
      </c>
      <c r="E100" s="62">
        <v>19</v>
      </c>
      <c r="F100" s="62">
        <v>15</v>
      </c>
      <c r="G100" s="62">
        <v>14</v>
      </c>
      <c r="H100" s="62">
        <v>14</v>
      </c>
      <c r="I100" s="62">
        <v>14</v>
      </c>
      <c r="J100" s="62">
        <v>17</v>
      </c>
      <c r="K100" s="62">
        <v>20</v>
      </c>
      <c r="L100" s="62">
        <v>18</v>
      </c>
    </row>
    <row r="101" spans="2:12" x14ac:dyDescent="0.2">
      <c r="B101" s="20" t="s">
        <v>27</v>
      </c>
      <c r="C101" s="21">
        <f>SUBTOTAL(109,'Undergraduate Ethnicity Trend'!$C$87:$C$100)</f>
        <v>264</v>
      </c>
      <c r="D101" s="21">
        <f>SUBTOTAL(109,'Undergraduate Ethnicity Trend'!$D$87:$D$100)</f>
        <v>199</v>
      </c>
      <c r="E101" s="21">
        <f>SUBTOTAL(109,'Undergraduate Ethnicity Trend'!$E$87:$E$100)</f>
        <v>168</v>
      </c>
      <c r="F101" s="21">
        <f>SUBTOTAL(109,'Undergraduate Ethnicity Trend'!$F$87:$F$100)</f>
        <v>135</v>
      </c>
      <c r="G101" s="21">
        <f>SUBTOTAL(109,'Undergraduate Ethnicity Trend'!$G$87:$G$100)</f>
        <v>138</v>
      </c>
      <c r="H101" s="21">
        <f>SUBTOTAL(109,'Undergraduate Ethnicity Trend'!$H$87:$H$100)</f>
        <v>150</v>
      </c>
      <c r="I101" s="21">
        <f>SUBTOTAL(109,'Undergraduate Ethnicity Trend'!$I$87:$I$100)</f>
        <v>152</v>
      </c>
      <c r="J101" s="21">
        <f>SUBTOTAL(109,'Undergraduate Ethnicity Trend'!$J$87:$J$100)</f>
        <v>170</v>
      </c>
      <c r="K101" s="21">
        <f>SUBTOTAL(109,'Undergraduate Ethnicity Trend'!$K$87:$K$100)</f>
        <v>176</v>
      </c>
      <c r="L101" s="21">
        <f>SUBTOTAL(109,'Undergraduate Ethnicity Trend'!$L$87:$L$100)</f>
        <v>153</v>
      </c>
    </row>
    <row r="104" spans="2:12" ht="15" x14ac:dyDescent="0.2">
      <c r="B104" s="127" t="s">
        <v>72</v>
      </c>
      <c r="C104" s="127"/>
      <c r="D104" s="127"/>
      <c r="E104" s="127"/>
      <c r="F104" s="127"/>
      <c r="G104" s="127"/>
      <c r="H104" s="127"/>
      <c r="I104" s="127"/>
      <c r="J104" s="127"/>
      <c r="K104" s="127"/>
      <c r="L104" s="127"/>
    </row>
    <row r="105" spans="2:12" ht="30.95" customHeight="1" x14ac:dyDescent="0.2">
      <c r="B105" s="52" t="s">
        <v>1</v>
      </c>
      <c r="C105" s="52" t="str">
        <f>CONCATENATE(IF(RIGHT(Parameters!B1,1) = "1","Fall ", "Spring "),IF(RIGHT(Parameters!B1,1) = "1",LEFT(Parameters!B1,4) -9, LEFT(Parameters!B1,4) - 8))</f>
        <v>Fall 2010</v>
      </c>
      <c r="D105" s="52" t="str">
        <f>CONCATENATE(IF(RIGHT(Parameters!B1,1) = "1","Fall ", "Spring "),IF(RIGHT(Parameters!B1,1) = "1",LEFT(Parameters!B1,4) -8, LEFT(Parameters!B1,4) - 7))</f>
        <v>Fall 2011</v>
      </c>
      <c r="E105" s="52" t="str">
        <f>CONCATENATE(IF(RIGHT(Parameters!B1,1) = "1","Fall ", "Spring "),IF(RIGHT(Parameters!B1,1) = "1",LEFT(Parameters!B1,4) -7, LEFT(Parameters!B1,4) - 6))</f>
        <v>Fall 2012</v>
      </c>
      <c r="F105" s="52" t="str">
        <f>CONCATENATE(IF(RIGHT(Parameters!B1,1) = "1","Fall ", "Spring "),IF(RIGHT(Parameters!B1,1) = "1",LEFT(Parameters!B1,4) -6, LEFT(Parameters!B1,4) - 5))</f>
        <v>Fall 2013</v>
      </c>
      <c r="G105" s="52" t="str">
        <f>CONCATENATE(IF(RIGHT(Parameters!B1,1) = "1","Fall ", "Spring "),IF(RIGHT(Parameters!B1,1) = "1",LEFT(Parameters!B1,4) -5, LEFT(Parameters!B1,4) - 4))</f>
        <v>Fall 2014</v>
      </c>
      <c r="H105" s="52" t="str">
        <f>CONCATENATE(IF(RIGHT(Parameters!B1,1) = "1","Fall ", "Spring "),IF(RIGHT(Parameters!B1,1) = "1",LEFT(Parameters!B1,4) -4, LEFT(Parameters!B1,4) - 3))</f>
        <v>Fall 2015</v>
      </c>
      <c r="I105" s="52" t="str">
        <f>CONCATENATE(IF(RIGHT(Parameters!B1,1) = "1","Fall ", "Spring "),IF(RIGHT(Parameters!B1,1) = "1",LEFT(Parameters!B1,4) -3, LEFT(Parameters!B1,4) - 2))</f>
        <v>Fall 2016</v>
      </c>
      <c r="J105" s="52" t="str">
        <f>CONCATENATE(IF(RIGHT(Parameters!B1,1) = "1","Fall ", "Spring "),IF(RIGHT(Parameters!B1,1) = "1",LEFT(Parameters!B1,4) -2, LEFT(Parameters!B1,4) - 1))</f>
        <v>Fall 2017</v>
      </c>
      <c r="K105" s="52" t="str">
        <f>CONCATENATE(IF(RIGHT(Parameters!B1,1) = "1","Fall ", "Spring "),IF(RIGHT(Parameters!B1,1) = "1",LEFT(Parameters!B1,4) -1, LEFT(Parameters!B1,4) ))</f>
        <v>Fall 2018</v>
      </c>
      <c r="L105" s="52" t="str">
        <f>CONCATENATE(IF(RIGHT(Parameters!B1,1) = "1","Fall ", "Spring "),IF(RIGHT(Parameters!B1,1) = "1",LEFT(Parameters!B1,4), LEFT(Parameters!B1,4) + 1))</f>
        <v>Fall 2019</v>
      </c>
    </row>
    <row r="106" spans="2:12" ht="16.5" hidden="1" customHeight="1" x14ac:dyDescent="0.2">
      <c r="B106" s="26" t="s">
        <v>2</v>
      </c>
      <c r="C106" s="26" t="s">
        <v>3</v>
      </c>
      <c r="D106" s="26" t="s">
        <v>4</v>
      </c>
      <c r="E106" s="26" t="s">
        <v>5</v>
      </c>
      <c r="F106" s="26" t="s">
        <v>6</v>
      </c>
      <c r="G106" s="26" t="s">
        <v>7</v>
      </c>
      <c r="H106" s="26" t="s">
        <v>8</v>
      </c>
      <c r="I106" s="26" t="s">
        <v>9</v>
      </c>
      <c r="J106" s="26" t="s">
        <v>10</v>
      </c>
      <c r="K106" s="26" t="s">
        <v>11</v>
      </c>
      <c r="L106" s="26" t="s">
        <v>12</v>
      </c>
    </row>
    <row r="107" spans="2:12" x14ac:dyDescent="0.2">
      <c r="B107" s="56" t="s">
        <v>13</v>
      </c>
      <c r="C107" s="57">
        <v>7412</v>
      </c>
      <c r="D107" s="57">
        <v>7575</v>
      </c>
      <c r="E107" s="57">
        <v>7518</v>
      </c>
      <c r="F107" s="57">
        <v>7667</v>
      </c>
      <c r="G107" s="57">
        <v>7548</v>
      </c>
      <c r="H107" s="57">
        <v>7299</v>
      </c>
      <c r="I107" s="57">
        <v>7126</v>
      </c>
      <c r="J107" s="57">
        <v>6761</v>
      </c>
      <c r="K107" s="57">
        <v>6440</v>
      </c>
      <c r="L107" s="57">
        <v>6172</v>
      </c>
    </row>
    <row r="108" spans="2:12" x14ac:dyDescent="0.2">
      <c r="B108" s="58" t="s">
        <v>14</v>
      </c>
      <c r="C108" s="59">
        <v>6151</v>
      </c>
      <c r="D108" s="59">
        <v>5951</v>
      </c>
      <c r="E108" s="59">
        <v>5295</v>
      </c>
      <c r="F108" s="59">
        <v>4994</v>
      </c>
      <c r="G108" s="59">
        <v>4700</v>
      </c>
      <c r="H108" s="59">
        <v>4481</v>
      </c>
      <c r="I108" s="59">
        <v>4245</v>
      </c>
      <c r="J108" s="59">
        <v>4232</v>
      </c>
      <c r="K108" s="59">
        <v>3863</v>
      </c>
      <c r="L108" s="59">
        <v>3669</v>
      </c>
    </row>
    <row r="109" spans="2:12" x14ac:dyDescent="0.2">
      <c r="B109" s="58" t="s">
        <v>15</v>
      </c>
      <c r="C109" s="59">
        <v>16</v>
      </c>
      <c r="D109" s="59">
        <v>4</v>
      </c>
      <c r="E109" s="59">
        <v>9</v>
      </c>
      <c r="F109" s="59">
        <v>12</v>
      </c>
      <c r="G109" s="59">
        <v>12</v>
      </c>
      <c r="H109" s="59">
        <v>13</v>
      </c>
      <c r="I109" s="59">
        <v>9</v>
      </c>
      <c r="J109" s="59">
        <v>14</v>
      </c>
      <c r="K109" s="59">
        <v>6</v>
      </c>
      <c r="L109" s="59">
        <v>3</v>
      </c>
    </row>
    <row r="110" spans="2:12" x14ac:dyDescent="0.2">
      <c r="B110" s="58" t="s">
        <v>16</v>
      </c>
      <c r="C110" s="59">
        <v>5456</v>
      </c>
      <c r="D110" s="59">
        <v>5075</v>
      </c>
      <c r="E110" s="59">
        <v>4805</v>
      </c>
      <c r="F110" s="59">
        <v>4428</v>
      </c>
      <c r="G110" s="59">
        <v>4065</v>
      </c>
      <c r="H110" s="59">
        <v>3744</v>
      </c>
      <c r="I110" s="59">
        <v>3616</v>
      </c>
      <c r="J110" s="59">
        <v>3542</v>
      </c>
      <c r="K110" s="59">
        <v>3257</v>
      </c>
      <c r="L110" s="59">
        <v>3077</v>
      </c>
    </row>
    <row r="111" spans="2:12" x14ac:dyDescent="0.2">
      <c r="B111" s="58" t="s">
        <v>17</v>
      </c>
      <c r="C111" s="59">
        <v>4816</v>
      </c>
      <c r="D111" s="59">
        <v>4493</v>
      </c>
      <c r="E111" s="59">
        <v>3991</v>
      </c>
      <c r="F111" s="59">
        <v>3897</v>
      </c>
      <c r="G111" s="59">
        <v>3994</v>
      </c>
      <c r="H111" s="59">
        <v>4076</v>
      </c>
      <c r="I111" s="59">
        <v>3933</v>
      </c>
      <c r="J111" s="59">
        <v>3689</v>
      </c>
      <c r="K111" s="59">
        <v>3291</v>
      </c>
      <c r="L111" s="59">
        <v>3017</v>
      </c>
    </row>
    <row r="112" spans="2:12" x14ac:dyDescent="0.2">
      <c r="B112" s="58" t="s">
        <v>18</v>
      </c>
      <c r="C112" s="59">
        <v>5835</v>
      </c>
      <c r="D112" s="59">
        <v>5737</v>
      </c>
      <c r="E112" s="59">
        <v>5211</v>
      </c>
      <c r="F112" s="59">
        <v>4948</v>
      </c>
      <c r="G112" s="59">
        <v>4568</v>
      </c>
      <c r="H112" s="59">
        <v>4272</v>
      </c>
      <c r="I112" s="59">
        <v>3924</v>
      </c>
      <c r="J112" s="59">
        <v>3476</v>
      </c>
      <c r="K112" s="59">
        <v>2915</v>
      </c>
      <c r="L112" s="59">
        <v>2784</v>
      </c>
    </row>
    <row r="113" spans="2:12" x14ac:dyDescent="0.2">
      <c r="B113" s="58" t="s">
        <v>19</v>
      </c>
      <c r="C113" s="59">
        <v>10158</v>
      </c>
      <c r="D113" s="59">
        <v>10338</v>
      </c>
      <c r="E113" s="59">
        <v>10429</v>
      </c>
      <c r="F113" s="59">
        <v>9841</v>
      </c>
      <c r="G113" s="59">
        <v>9355</v>
      </c>
      <c r="H113" s="59">
        <v>8777</v>
      </c>
      <c r="I113" s="59">
        <v>8033</v>
      </c>
      <c r="J113" s="59">
        <v>7618</v>
      </c>
      <c r="K113" s="59">
        <v>6892</v>
      </c>
      <c r="L113" s="59">
        <v>6276</v>
      </c>
    </row>
    <row r="114" spans="2:12" x14ac:dyDescent="0.2">
      <c r="B114" s="58" t="s">
        <v>20</v>
      </c>
      <c r="C114" s="59">
        <v>8203</v>
      </c>
      <c r="D114" s="59">
        <v>7764</v>
      </c>
      <c r="E114" s="59">
        <v>7385</v>
      </c>
      <c r="F114" s="59">
        <v>7159</v>
      </c>
      <c r="G114" s="59">
        <v>6724</v>
      </c>
      <c r="H114" s="59">
        <v>6402</v>
      </c>
      <c r="I114" s="59">
        <v>5980</v>
      </c>
      <c r="J114" s="59">
        <v>5712</v>
      </c>
      <c r="K114" s="59">
        <v>5523</v>
      </c>
      <c r="L114" s="59">
        <v>5341</v>
      </c>
    </row>
    <row r="115" spans="2:12" x14ac:dyDescent="0.2">
      <c r="B115" s="58" t="s">
        <v>21</v>
      </c>
      <c r="C115" s="59">
        <v>4498</v>
      </c>
      <c r="D115" s="59">
        <v>4447</v>
      </c>
      <c r="E115" s="59">
        <v>4315</v>
      </c>
      <c r="F115" s="59">
        <v>4193</v>
      </c>
      <c r="G115" s="59">
        <v>3822</v>
      </c>
      <c r="H115" s="59">
        <v>3544</v>
      </c>
      <c r="I115" s="59">
        <v>3207</v>
      </c>
      <c r="J115" s="59">
        <v>2805</v>
      </c>
      <c r="K115" s="59">
        <v>2562</v>
      </c>
      <c r="L115" s="59">
        <v>2297</v>
      </c>
    </row>
    <row r="116" spans="2:12" x14ac:dyDescent="0.2">
      <c r="B116" s="58" t="s">
        <v>22</v>
      </c>
      <c r="C116" s="59">
        <v>2335</v>
      </c>
      <c r="D116" s="59">
        <v>2299</v>
      </c>
      <c r="E116" s="59">
        <v>2240</v>
      </c>
      <c r="F116" s="59">
        <v>2194</v>
      </c>
      <c r="G116" s="59">
        <v>2111</v>
      </c>
      <c r="H116" s="59">
        <v>1861</v>
      </c>
      <c r="I116" s="59">
        <v>1722</v>
      </c>
      <c r="J116" s="59">
        <v>1483</v>
      </c>
      <c r="K116" s="59">
        <v>1270</v>
      </c>
      <c r="L116" s="59">
        <v>1265</v>
      </c>
    </row>
    <row r="117" spans="2:12" x14ac:dyDescent="0.2">
      <c r="B117" s="58" t="s">
        <v>23</v>
      </c>
      <c r="C117" s="59">
        <v>6300</v>
      </c>
      <c r="D117" s="59">
        <v>6232</v>
      </c>
      <c r="E117" s="59">
        <v>5923</v>
      </c>
      <c r="F117" s="59">
        <v>5760</v>
      </c>
      <c r="G117" s="59">
        <v>5483</v>
      </c>
      <c r="H117" s="59">
        <v>5390</v>
      </c>
      <c r="I117" s="59">
        <v>5265</v>
      </c>
      <c r="J117" s="59">
        <v>4969</v>
      </c>
      <c r="K117" s="59">
        <v>4998</v>
      </c>
      <c r="L117" s="59">
        <v>4971</v>
      </c>
    </row>
    <row r="118" spans="2:12" x14ac:dyDescent="0.2">
      <c r="B118" s="58" t="s">
        <v>24</v>
      </c>
      <c r="C118" s="59">
        <v>5935</v>
      </c>
      <c r="D118" s="59">
        <v>5885</v>
      </c>
      <c r="E118" s="59">
        <v>5474</v>
      </c>
      <c r="F118" s="59">
        <v>5224</v>
      </c>
      <c r="G118" s="59">
        <v>4977</v>
      </c>
      <c r="H118" s="59">
        <v>4697</v>
      </c>
      <c r="I118" s="59">
        <v>4523</v>
      </c>
      <c r="J118" s="59">
        <v>4289</v>
      </c>
      <c r="K118" s="59">
        <v>4149</v>
      </c>
      <c r="L118" s="59">
        <v>3905</v>
      </c>
    </row>
    <row r="119" spans="2:12" x14ac:dyDescent="0.2">
      <c r="B119" s="58" t="s">
        <v>25</v>
      </c>
      <c r="C119" s="59">
        <v>6834</v>
      </c>
      <c r="D119" s="59">
        <v>6799</v>
      </c>
      <c r="E119" s="59">
        <v>6718</v>
      </c>
      <c r="F119" s="59">
        <v>6521</v>
      </c>
      <c r="G119" s="59">
        <v>6490</v>
      </c>
      <c r="H119" s="59">
        <v>6474</v>
      </c>
      <c r="I119" s="59">
        <v>6539</v>
      </c>
      <c r="J119" s="59">
        <v>6514</v>
      </c>
      <c r="K119" s="59">
        <v>6406</v>
      </c>
      <c r="L119" s="59">
        <v>6368</v>
      </c>
    </row>
    <row r="120" spans="2:12" x14ac:dyDescent="0.2">
      <c r="B120" s="61" t="s">
        <v>26</v>
      </c>
      <c r="C120" s="62">
        <v>10258</v>
      </c>
      <c r="D120" s="62">
        <v>10628</v>
      </c>
      <c r="E120" s="62">
        <v>10912</v>
      </c>
      <c r="F120" s="62">
        <v>11136</v>
      </c>
      <c r="G120" s="62">
        <v>11028</v>
      </c>
      <c r="H120" s="62">
        <v>11068</v>
      </c>
      <c r="I120" s="62">
        <v>11019</v>
      </c>
      <c r="J120" s="62">
        <v>10939</v>
      </c>
      <c r="K120" s="62">
        <v>10911</v>
      </c>
      <c r="L120" s="62">
        <v>10824</v>
      </c>
    </row>
    <row r="121" spans="2:12" x14ac:dyDescent="0.2">
      <c r="B121" s="20" t="s">
        <v>27</v>
      </c>
      <c r="C121" s="21">
        <f>SUBTOTAL(109,'Undergraduate Ethnicity Trend'!$C$107:$C$120)</f>
        <v>84207</v>
      </c>
      <c r="D121" s="21">
        <f>SUBTOTAL(109,'Undergraduate Ethnicity Trend'!$D$107:$D$120)</f>
        <v>83227</v>
      </c>
      <c r="E121" s="21">
        <f>SUBTOTAL(109,'Undergraduate Ethnicity Trend'!$E$107:$E$120)</f>
        <v>80225</v>
      </c>
      <c r="F121" s="21">
        <f>SUBTOTAL(109,'Undergraduate Ethnicity Trend'!$F$107:$F$120)</f>
        <v>77974</v>
      </c>
      <c r="G121" s="21">
        <f>SUBTOTAL(109,'Undergraduate Ethnicity Trend'!$G$107:$G$120)</f>
        <v>74877</v>
      </c>
      <c r="H121" s="21">
        <f>SUBTOTAL(109,'Undergraduate Ethnicity Trend'!$H$107:$H$120)</f>
        <v>72098</v>
      </c>
      <c r="I121" s="21">
        <f>SUBTOTAL(109,'Undergraduate Ethnicity Trend'!$I$107:$I$120)</f>
        <v>69141</v>
      </c>
      <c r="J121" s="21">
        <f>SUBTOTAL(109,'Undergraduate Ethnicity Trend'!$J$107:$J$120)</f>
        <v>66043</v>
      </c>
      <c r="K121" s="21">
        <f>SUBTOTAL(109,'Undergraduate Ethnicity Trend'!$K$107:$K$120)</f>
        <v>62483</v>
      </c>
      <c r="L121" s="21">
        <f>SUBTOTAL(109,'Undergraduate Ethnicity Trend'!$L$107:$L$120)</f>
        <v>59969</v>
      </c>
    </row>
    <row r="124" spans="2:12" ht="15" x14ac:dyDescent="0.2">
      <c r="B124" s="127" t="s">
        <v>73</v>
      </c>
      <c r="C124" s="127"/>
      <c r="D124" s="127"/>
      <c r="E124" s="127"/>
      <c r="F124" s="127"/>
      <c r="G124" s="127"/>
      <c r="H124" s="127"/>
      <c r="I124" s="127"/>
      <c r="J124" s="127"/>
      <c r="K124" s="127"/>
      <c r="L124" s="127"/>
    </row>
    <row r="125" spans="2:12" ht="30.95" customHeight="1" x14ac:dyDescent="0.2">
      <c r="B125" s="52" t="s">
        <v>1</v>
      </c>
      <c r="C125" s="52" t="str">
        <f>CONCATENATE(IF(RIGHT(Parameters!B1,1) = "1","Fall ", "Spring "),IF(RIGHT(Parameters!B1,1) = "1",LEFT(Parameters!B1,4) -9, LEFT(Parameters!B1,4) - 8))</f>
        <v>Fall 2010</v>
      </c>
      <c r="D125" s="52" t="str">
        <f>CONCATENATE(IF(RIGHT(Parameters!B1,1) = "1","Fall ", "Spring "),IF(RIGHT(Parameters!B1,1) = "1",LEFT(Parameters!B1,4) -8, LEFT(Parameters!B1,4) - 7))</f>
        <v>Fall 2011</v>
      </c>
      <c r="E125" s="52" t="str">
        <f>CONCATENATE(IF(RIGHT(Parameters!B1,1) = "1","Fall ", "Spring "),IF(RIGHT(Parameters!B1,1) = "1",LEFT(Parameters!B1,4) -7, LEFT(Parameters!B1,4) - 6))</f>
        <v>Fall 2012</v>
      </c>
      <c r="F125" s="52" t="str">
        <f>CONCATENATE(IF(RIGHT(Parameters!B1,1) = "1","Fall ", "Spring "),IF(RIGHT(Parameters!B1,1) = "1",LEFT(Parameters!B1,4) -6, LEFT(Parameters!B1,4) - 5))</f>
        <v>Fall 2013</v>
      </c>
      <c r="G125" s="52" t="str">
        <f>CONCATENATE(IF(RIGHT(Parameters!B1,1) = "1","Fall ", "Spring "),IF(RIGHT(Parameters!B1,1) = "1",LEFT(Parameters!B1,4) -5, LEFT(Parameters!B1,4) - 4))</f>
        <v>Fall 2014</v>
      </c>
      <c r="H125" s="52" t="str">
        <f>CONCATENATE(IF(RIGHT(Parameters!B1,1) = "1","Fall ", "Spring "),IF(RIGHT(Parameters!B1,1) = "1",LEFT(Parameters!B1,4) -4, LEFT(Parameters!B1,4) - 3))</f>
        <v>Fall 2015</v>
      </c>
      <c r="I125" s="52" t="str">
        <f>CONCATENATE(IF(RIGHT(Parameters!B1,1) = "1","Fall ", "Spring "),IF(RIGHT(Parameters!B1,1) = "1",LEFT(Parameters!B1,4) -3, LEFT(Parameters!B1,4) - 2))</f>
        <v>Fall 2016</v>
      </c>
      <c r="J125" s="52" t="str">
        <f>CONCATENATE(IF(RIGHT(Parameters!B1,1) = "1","Fall ", "Spring "),IF(RIGHT(Parameters!B1,1) = "1",LEFT(Parameters!B1,4) -2, LEFT(Parameters!B1,4) - 1))</f>
        <v>Fall 2017</v>
      </c>
      <c r="K125" s="52" t="str">
        <f>CONCATENATE(IF(RIGHT(Parameters!B1,1) = "1","Fall ", "Spring "),IF(RIGHT(Parameters!B1,1) = "1",LEFT(Parameters!B1,4) -1, LEFT(Parameters!B1,4) ))</f>
        <v>Fall 2018</v>
      </c>
      <c r="L125" s="52" t="str">
        <f>CONCATENATE(IF(RIGHT(Parameters!B1,1) = "1","Fall ", "Spring "),IF(RIGHT(Parameters!B1,1) = "1",LEFT(Parameters!B1,4), LEFT(Parameters!B1,4) + 1))</f>
        <v>Fall 2019</v>
      </c>
    </row>
    <row r="126" spans="2:12" ht="16.5" hidden="1" customHeight="1" x14ac:dyDescent="0.2">
      <c r="B126" s="26" t="s">
        <v>2</v>
      </c>
      <c r="C126" s="26" t="s">
        <v>3</v>
      </c>
      <c r="D126" s="26" t="s">
        <v>4</v>
      </c>
      <c r="E126" s="26" t="s">
        <v>5</v>
      </c>
      <c r="F126" s="26" t="s">
        <v>6</v>
      </c>
      <c r="G126" s="26" t="s">
        <v>7</v>
      </c>
      <c r="H126" s="26" t="s">
        <v>8</v>
      </c>
      <c r="I126" s="26" t="s">
        <v>9</v>
      </c>
      <c r="J126" s="26" t="s">
        <v>10</v>
      </c>
      <c r="K126" s="26" t="s">
        <v>11</v>
      </c>
      <c r="L126" s="26" t="s">
        <v>12</v>
      </c>
    </row>
    <row r="127" spans="2:12" x14ac:dyDescent="0.2">
      <c r="B127" s="56" t="s">
        <v>13</v>
      </c>
      <c r="C127" s="57">
        <v>54</v>
      </c>
      <c r="D127" s="57">
        <v>98</v>
      </c>
      <c r="E127" s="57">
        <v>145</v>
      </c>
      <c r="F127" s="57">
        <v>171</v>
      </c>
      <c r="G127" s="57">
        <v>201</v>
      </c>
      <c r="H127" s="57">
        <v>233</v>
      </c>
      <c r="I127" s="57">
        <v>242</v>
      </c>
      <c r="J127" s="57">
        <v>235</v>
      </c>
      <c r="K127" s="57">
        <v>183</v>
      </c>
      <c r="L127" s="57">
        <v>133</v>
      </c>
    </row>
    <row r="128" spans="2:12" x14ac:dyDescent="0.2">
      <c r="B128" s="58" t="s">
        <v>14</v>
      </c>
      <c r="C128" s="59">
        <v>0</v>
      </c>
      <c r="D128" s="59">
        <v>122</v>
      </c>
      <c r="E128" s="59">
        <v>139</v>
      </c>
      <c r="F128" s="59">
        <v>184</v>
      </c>
      <c r="G128" s="59">
        <v>191</v>
      </c>
      <c r="H128" s="59">
        <v>192</v>
      </c>
      <c r="I128" s="59">
        <v>201</v>
      </c>
      <c r="J128" s="59">
        <v>213</v>
      </c>
      <c r="K128" s="59">
        <v>185</v>
      </c>
      <c r="L128" s="59">
        <v>181</v>
      </c>
    </row>
    <row r="129" spans="2:12" x14ac:dyDescent="0.2">
      <c r="B129" s="58" t="s">
        <v>15</v>
      </c>
      <c r="C129" s="59">
        <v>0</v>
      </c>
      <c r="D129" s="59">
        <v>13</v>
      </c>
      <c r="E129" s="59">
        <v>2</v>
      </c>
      <c r="F129" s="59">
        <v>42</v>
      </c>
      <c r="G129" s="59">
        <v>37</v>
      </c>
      <c r="H129" s="59">
        <v>27</v>
      </c>
      <c r="I129" s="59">
        <v>40</v>
      </c>
      <c r="J129" s="59">
        <v>32</v>
      </c>
      <c r="K129" s="59">
        <v>19</v>
      </c>
      <c r="L129" s="59">
        <v>31</v>
      </c>
    </row>
    <row r="130" spans="2:12" x14ac:dyDescent="0.2">
      <c r="B130" s="58" t="s">
        <v>16</v>
      </c>
      <c r="C130" s="59">
        <v>56</v>
      </c>
      <c r="D130" s="59">
        <v>80</v>
      </c>
      <c r="E130" s="59">
        <v>91</v>
      </c>
      <c r="F130" s="59">
        <v>117</v>
      </c>
      <c r="G130" s="59">
        <v>121</v>
      </c>
      <c r="H130" s="59">
        <v>122</v>
      </c>
      <c r="I130" s="59">
        <v>125</v>
      </c>
      <c r="J130" s="59">
        <v>121</v>
      </c>
      <c r="K130" s="59">
        <v>94</v>
      </c>
      <c r="L130" s="59">
        <v>80</v>
      </c>
    </row>
    <row r="131" spans="2:12" x14ac:dyDescent="0.2">
      <c r="B131" s="58" t="s">
        <v>17</v>
      </c>
      <c r="C131" s="59">
        <v>29</v>
      </c>
      <c r="D131" s="59">
        <v>82</v>
      </c>
      <c r="E131" s="59">
        <v>111</v>
      </c>
      <c r="F131" s="59">
        <v>123</v>
      </c>
      <c r="G131" s="59">
        <v>186</v>
      </c>
      <c r="H131" s="59">
        <v>253</v>
      </c>
      <c r="I131" s="59">
        <v>300</v>
      </c>
      <c r="J131" s="59">
        <v>226</v>
      </c>
      <c r="K131" s="59">
        <v>229</v>
      </c>
      <c r="L131" s="59">
        <v>237</v>
      </c>
    </row>
    <row r="132" spans="2:12" x14ac:dyDescent="0.2">
      <c r="B132" s="58" t="s">
        <v>18</v>
      </c>
      <c r="C132" s="59">
        <v>59</v>
      </c>
      <c r="D132" s="59">
        <v>100</v>
      </c>
      <c r="E132" s="59">
        <v>123</v>
      </c>
      <c r="F132" s="59">
        <v>131</v>
      </c>
      <c r="G132" s="59">
        <v>139</v>
      </c>
      <c r="H132" s="59">
        <v>187</v>
      </c>
      <c r="I132" s="59">
        <v>173</v>
      </c>
      <c r="J132" s="59">
        <v>168</v>
      </c>
      <c r="K132" s="59">
        <v>130</v>
      </c>
      <c r="L132" s="59">
        <v>0</v>
      </c>
    </row>
    <row r="133" spans="2:12" x14ac:dyDescent="0.2">
      <c r="B133" s="58" t="s">
        <v>19</v>
      </c>
      <c r="C133" s="59">
        <v>73</v>
      </c>
      <c r="D133" s="59">
        <v>160</v>
      </c>
      <c r="E133" s="59">
        <v>279</v>
      </c>
      <c r="F133" s="59">
        <v>329</v>
      </c>
      <c r="G133" s="59">
        <v>388</v>
      </c>
      <c r="H133" s="59">
        <v>420</v>
      </c>
      <c r="I133" s="59">
        <v>411</v>
      </c>
      <c r="J133" s="59">
        <v>446</v>
      </c>
      <c r="K133" s="59">
        <v>429</v>
      </c>
      <c r="L133" s="59">
        <v>410</v>
      </c>
    </row>
    <row r="134" spans="2:12" x14ac:dyDescent="0.2">
      <c r="B134" s="58" t="s">
        <v>20</v>
      </c>
      <c r="C134" s="59">
        <v>53</v>
      </c>
      <c r="D134" s="59">
        <v>116</v>
      </c>
      <c r="E134" s="59">
        <v>159</v>
      </c>
      <c r="F134" s="59">
        <v>160</v>
      </c>
      <c r="G134" s="59">
        <v>192</v>
      </c>
      <c r="H134" s="59">
        <v>240</v>
      </c>
      <c r="I134" s="59">
        <v>244</v>
      </c>
      <c r="J134" s="59">
        <v>258</v>
      </c>
      <c r="K134" s="59">
        <v>245</v>
      </c>
      <c r="L134" s="59">
        <v>223</v>
      </c>
    </row>
    <row r="135" spans="2:12" x14ac:dyDescent="0.2">
      <c r="B135" s="58" t="s">
        <v>21</v>
      </c>
      <c r="C135" s="59">
        <v>24</v>
      </c>
      <c r="D135" s="59">
        <v>29</v>
      </c>
      <c r="E135" s="59">
        <v>27</v>
      </c>
      <c r="F135" s="59">
        <v>58</v>
      </c>
      <c r="G135" s="59">
        <v>47</v>
      </c>
      <c r="H135" s="59">
        <v>44</v>
      </c>
      <c r="I135" s="59">
        <v>40</v>
      </c>
      <c r="J135" s="59">
        <v>26</v>
      </c>
      <c r="K135" s="59">
        <v>16</v>
      </c>
      <c r="L135" s="59">
        <v>56</v>
      </c>
    </row>
    <row r="136" spans="2:12" x14ac:dyDescent="0.2">
      <c r="B136" s="58" t="s">
        <v>22</v>
      </c>
      <c r="C136" s="59">
        <v>30</v>
      </c>
      <c r="D136" s="59">
        <v>34</v>
      </c>
      <c r="E136" s="59">
        <v>61</v>
      </c>
      <c r="F136" s="59">
        <v>52</v>
      </c>
      <c r="G136" s="59">
        <v>43</v>
      </c>
      <c r="H136" s="59">
        <v>43</v>
      </c>
      <c r="I136" s="59">
        <v>47</v>
      </c>
      <c r="J136" s="59">
        <v>42</v>
      </c>
      <c r="K136" s="59">
        <v>52</v>
      </c>
      <c r="L136" s="59">
        <v>46</v>
      </c>
    </row>
    <row r="137" spans="2:12" x14ac:dyDescent="0.2">
      <c r="B137" s="58" t="s">
        <v>23</v>
      </c>
      <c r="C137" s="59">
        <v>69</v>
      </c>
      <c r="D137" s="59">
        <v>87</v>
      </c>
      <c r="E137" s="59">
        <v>124</v>
      </c>
      <c r="F137" s="59">
        <v>151</v>
      </c>
      <c r="G137" s="59">
        <v>168</v>
      </c>
      <c r="H137" s="59">
        <v>180</v>
      </c>
      <c r="I137" s="59">
        <v>141</v>
      </c>
      <c r="J137" s="59">
        <v>121</v>
      </c>
      <c r="K137" s="59">
        <v>89</v>
      </c>
      <c r="L137" s="59">
        <v>70</v>
      </c>
    </row>
    <row r="138" spans="2:12" x14ac:dyDescent="0.2">
      <c r="B138" s="58" t="s">
        <v>24</v>
      </c>
      <c r="C138" s="59">
        <v>63</v>
      </c>
      <c r="D138" s="59">
        <v>166</v>
      </c>
      <c r="E138" s="59">
        <v>172</v>
      </c>
      <c r="F138" s="59">
        <v>195</v>
      </c>
      <c r="G138" s="59">
        <v>183</v>
      </c>
      <c r="H138" s="59">
        <v>193</v>
      </c>
      <c r="I138" s="59">
        <v>196</v>
      </c>
      <c r="J138" s="59">
        <v>207</v>
      </c>
      <c r="K138" s="59">
        <v>222</v>
      </c>
      <c r="L138" s="59">
        <v>235</v>
      </c>
    </row>
    <row r="139" spans="2:12" x14ac:dyDescent="0.2">
      <c r="B139" s="58" t="s">
        <v>25</v>
      </c>
      <c r="C139" s="59">
        <v>66</v>
      </c>
      <c r="D139" s="59">
        <v>97</v>
      </c>
      <c r="E139" s="59">
        <v>140</v>
      </c>
      <c r="F139" s="59">
        <v>171</v>
      </c>
      <c r="G139" s="59">
        <v>214</v>
      </c>
      <c r="H139" s="59">
        <v>247</v>
      </c>
      <c r="I139" s="59">
        <v>270</v>
      </c>
      <c r="J139" s="59">
        <v>301</v>
      </c>
      <c r="K139" s="59">
        <v>306</v>
      </c>
      <c r="L139" s="59">
        <v>305</v>
      </c>
    </row>
    <row r="140" spans="2:12" x14ac:dyDescent="0.2">
      <c r="B140" s="61" t="s">
        <v>26</v>
      </c>
      <c r="C140" s="62">
        <v>88</v>
      </c>
      <c r="D140" s="62">
        <v>164</v>
      </c>
      <c r="E140" s="62">
        <v>226</v>
      </c>
      <c r="F140" s="62">
        <v>322</v>
      </c>
      <c r="G140" s="62">
        <v>363</v>
      </c>
      <c r="H140" s="62">
        <v>409</v>
      </c>
      <c r="I140" s="62">
        <v>439</v>
      </c>
      <c r="J140" s="62">
        <v>489</v>
      </c>
      <c r="K140" s="62">
        <v>517</v>
      </c>
      <c r="L140" s="62">
        <v>539</v>
      </c>
    </row>
    <row r="141" spans="2:12" x14ac:dyDescent="0.2">
      <c r="B141" s="20" t="s">
        <v>27</v>
      </c>
      <c r="C141" s="21">
        <f>SUBTOTAL(109,'Undergraduate Ethnicity Trend'!$C$127:$C$140)</f>
        <v>664</v>
      </c>
      <c r="D141" s="21">
        <f>SUBTOTAL(109,'Undergraduate Ethnicity Trend'!$D$127:$D$140)</f>
        <v>1348</v>
      </c>
      <c r="E141" s="21">
        <f>SUBTOTAL(109,'Undergraduate Ethnicity Trend'!$E$127:$E$140)</f>
        <v>1799</v>
      </c>
      <c r="F141" s="21">
        <f>SUBTOTAL(109,'Undergraduate Ethnicity Trend'!$F$127:$F$140)</f>
        <v>2206</v>
      </c>
      <c r="G141" s="21">
        <f>SUBTOTAL(109,'Undergraduate Ethnicity Trend'!$G$127:$G$140)</f>
        <v>2473</v>
      </c>
      <c r="H141" s="21">
        <f>SUBTOTAL(109,'Undergraduate Ethnicity Trend'!$H$127:$H$140)</f>
        <v>2790</v>
      </c>
      <c r="I141" s="21">
        <f>SUBTOTAL(109,'Undergraduate Ethnicity Trend'!$I$127:$I$140)</f>
        <v>2869</v>
      </c>
      <c r="J141" s="21">
        <f>SUBTOTAL(109,'Undergraduate Ethnicity Trend'!$J$127:$J$140)</f>
        <v>2885</v>
      </c>
      <c r="K141" s="21">
        <f>SUBTOTAL(109,'Undergraduate Ethnicity Trend'!$K$127:$K$140)</f>
        <v>2716</v>
      </c>
      <c r="L141" s="21">
        <f>SUBTOTAL(109,'Undergraduate Ethnicity Trend'!$L$127:$L$140)</f>
        <v>2546</v>
      </c>
    </row>
    <row r="144" spans="2:12" ht="15" x14ac:dyDescent="0.2">
      <c r="B144" s="127" t="s">
        <v>74</v>
      </c>
      <c r="C144" s="127"/>
      <c r="D144" s="127"/>
      <c r="E144" s="127"/>
      <c r="F144" s="127"/>
      <c r="G144" s="127"/>
      <c r="H144" s="127"/>
      <c r="I144" s="127"/>
      <c r="J144" s="127"/>
      <c r="K144" s="127"/>
      <c r="L144" s="127"/>
    </row>
    <row r="145" spans="2:12" ht="30.95" customHeight="1" x14ac:dyDescent="0.2">
      <c r="B145" s="52" t="s">
        <v>1</v>
      </c>
      <c r="C145" s="52" t="str">
        <f>CONCATENATE(IF(RIGHT(Parameters!B1,1) = "1","Fall ", "Spring "),IF(RIGHT(Parameters!B1,1) = "1",LEFT(Parameters!B1,4) -9, LEFT(Parameters!B1,4) - 8))</f>
        <v>Fall 2010</v>
      </c>
      <c r="D145" s="52" t="str">
        <f>CONCATENATE(IF(RIGHT(Parameters!B1,1) = "1","Fall ", "Spring "),IF(RIGHT(Parameters!B1,1) = "1",LEFT(Parameters!B1,4) -8, LEFT(Parameters!B1,4) - 7))</f>
        <v>Fall 2011</v>
      </c>
      <c r="E145" s="52" t="str">
        <f>CONCATENATE(IF(RIGHT(Parameters!B1,1) = "1","Fall ", "Spring "),IF(RIGHT(Parameters!B1,1) = "1",LEFT(Parameters!B1,4) -7, LEFT(Parameters!B1,4) - 6))</f>
        <v>Fall 2012</v>
      </c>
      <c r="F145" s="52" t="str">
        <f>CONCATENATE(IF(RIGHT(Parameters!B1,1) = "1","Fall ", "Spring "),IF(RIGHT(Parameters!B1,1) = "1",LEFT(Parameters!B1,4) -6, LEFT(Parameters!B1,4) - 5))</f>
        <v>Fall 2013</v>
      </c>
      <c r="G145" s="52" t="str">
        <f>CONCATENATE(IF(RIGHT(Parameters!B1,1) = "1","Fall ", "Spring "),IF(RIGHT(Parameters!B1,1) = "1",LEFT(Parameters!B1,4) -5, LEFT(Parameters!B1,4) - 4))</f>
        <v>Fall 2014</v>
      </c>
      <c r="H145" s="52" t="str">
        <f>CONCATENATE(IF(RIGHT(Parameters!B1,1) = "1","Fall ", "Spring "),IF(RIGHT(Parameters!B1,1) = "1",LEFT(Parameters!B1,4) -4, LEFT(Parameters!B1,4) - 3))</f>
        <v>Fall 2015</v>
      </c>
      <c r="I145" s="52" t="str">
        <f>CONCATENATE(IF(RIGHT(Parameters!B1,1) = "1","Fall ", "Spring "),IF(RIGHT(Parameters!B1,1) = "1",LEFT(Parameters!B1,4) -3, LEFT(Parameters!B1,4) - 2))</f>
        <v>Fall 2016</v>
      </c>
      <c r="J145" s="52" t="str">
        <f>CONCATENATE(IF(RIGHT(Parameters!B1,1) = "1","Fall ", "Spring "),IF(RIGHT(Parameters!B1,1) = "1",LEFT(Parameters!B1,4) -2, LEFT(Parameters!B1,4) - 1))</f>
        <v>Fall 2017</v>
      </c>
      <c r="K145" s="52" t="str">
        <f>CONCATENATE(IF(RIGHT(Parameters!B1,1) = "1","Fall ", "Spring "),IF(RIGHT(Parameters!B1,1) = "1",LEFT(Parameters!B1,4) -1, LEFT(Parameters!B1,4) ))</f>
        <v>Fall 2018</v>
      </c>
      <c r="L145" s="52" t="str">
        <f>CONCATENATE(IF(RIGHT(Parameters!B1,1) = "1","Fall ", "Spring "),IF(RIGHT(Parameters!B1,1) = "1",LEFT(Parameters!B1,4), LEFT(Parameters!B1,4) + 1))</f>
        <v>Fall 2019</v>
      </c>
    </row>
    <row r="146" spans="2:12" ht="16.5" hidden="1" customHeight="1" x14ac:dyDescent="0.2">
      <c r="B146" s="26" t="s">
        <v>2</v>
      </c>
      <c r="C146" s="26" t="s">
        <v>3</v>
      </c>
      <c r="D146" s="26" t="s">
        <v>4</v>
      </c>
      <c r="E146" s="26" t="s">
        <v>5</v>
      </c>
      <c r="F146" s="26" t="s">
        <v>6</v>
      </c>
      <c r="G146" s="26" t="s">
        <v>7</v>
      </c>
      <c r="H146" s="26" t="s">
        <v>8</v>
      </c>
      <c r="I146" s="26" t="s">
        <v>9</v>
      </c>
      <c r="J146" s="26" t="s">
        <v>10</v>
      </c>
      <c r="K146" s="26" t="s">
        <v>11</v>
      </c>
      <c r="L146" s="26" t="s">
        <v>12</v>
      </c>
    </row>
    <row r="147" spans="2:12" x14ac:dyDescent="0.2">
      <c r="B147" s="56" t="s">
        <v>13</v>
      </c>
      <c r="C147" s="57">
        <v>97</v>
      </c>
      <c r="D147" s="57">
        <v>110</v>
      </c>
      <c r="E147" s="57">
        <v>154</v>
      </c>
      <c r="F147" s="57">
        <v>116</v>
      </c>
      <c r="G147" s="57">
        <v>108</v>
      </c>
      <c r="H147" s="57">
        <v>88</v>
      </c>
      <c r="I147" s="57">
        <v>50</v>
      </c>
      <c r="J147" s="57">
        <v>64</v>
      </c>
      <c r="K147" s="57">
        <v>45</v>
      </c>
      <c r="L147" s="57">
        <v>45</v>
      </c>
    </row>
    <row r="148" spans="2:12" x14ac:dyDescent="0.2">
      <c r="B148" s="58" t="s">
        <v>14</v>
      </c>
      <c r="C148" s="59">
        <v>105</v>
      </c>
      <c r="D148" s="59">
        <v>57</v>
      </c>
      <c r="E148" s="59">
        <v>55</v>
      </c>
      <c r="F148" s="59">
        <v>52</v>
      </c>
      <c r="G148" s="59">
        <v>50</v>
      </c>
      <c r="H148" s="59">
        <v>46</v>
      </c>
      <c r="I148" s="59">
        <v>42</v>
      </c>
      <c r="J148" s="59">
        <v>42</v>
      </c>
      <c r="K148" s="59">
        <v>50</v>
      </c>
      <c r="L148" s="59">
        <v>37</v>
      </c>
    </row>
    <row r="149" spans="2:12" x14ac:dyDescent="0.2">
      <c r="B149" s="58" t="s">
        <v>15</v>
      </c>
      <c r="C149" s="59">
        <v>1</v>
      </c>
      <c r="D149" s="59">
        <v>0</v>
      </c>
      <c r="E149" s="59">
        <v>0</v>
      </c>
      <c r="F149" s="59">
        <v>0</v>
      </c>
      <c r="G149" s="59">
        <v>2</v>
      </c>
      <c r="H149" s="59">
        <v>3</v>
      </c>
      <c r="I149" s="59">
        <v>2</v>
      </c>
      <c r="J149" s="59">
        <v>0</v>
      </c>
      <c r="K149" s="59">
        <v>0</v>
      </c>
      <c r="L149" s="59">
        <v>2</v>
      </c>
    </row>
    <row r="150" spans="2:12" x14ac:dyDescent="0.2">
      <c r="B150" s="58" t="s">
        <v>16</v>
      </c>
      <c r="C150" s="59">
        <v>31</v>
      </c>
      <c r="D150" s="59">
        <v>39</v>
      </c>
      <c r="E150" s="59">
        <v>30</v>
      </c>
      <c r="F150" s="59">
        <v>33</v>
      </c>
      <c r="G150" s="59">
        <v>80</v>
      </c>
      <c r="H150" s="59">
        <v>38</v>
      </c>
      <c r="I150" s="59">
        <v>21</v>
      </c>
      <c r="J150" s="59">
        <v>14</v>
      </c>
      <c r="K150" s="59">
        <v>13</v>
      </c>
      <c r="L150" s="59">
        <v>17</v>
      </c>
    </row>
    <row r="151" spans="2:12" x14ac:dyDescent="0.2">
      <c r="B151" s="58" t="s">
        <v>17</v>
      </c>
      <c r="C151" s="59">
        <v>51</v>
      </c>
      <c r="D151" s="59">
        <v>52</v>
      </c>
      <c r="E151" s="59">
        <v>60</v>
      </c>
      <c r="F151" s="59">
        <v>56</v>
      </c>
      <c r="G151" s="59">
        <v>59</v>
      </c>
      <c r="H151" s="59">
        <v>79</v>
      </c>
      <c r="I151" s="59">
        <v>40</v>
      </c>
      <c r="J151" s="59">
        <v>48</v>
      </c>
      <c r="K151" s="59">
        <v>49</v>
      </c>
      <c r="L151" s="59">
        <v>37</v>
      </c>
    </row>
    <row r="152" spans="2:12" x14ac:dyDescent="0.2">
      <c r="B152" s="58" t="s">
        <v>18</v>
      </c>
      <c r="C152" s="59">
        <v>55</v>
      </c>
      <c r="D152" s="59">
        <v>80</v>
      </c>
      <c r="E152" s="59">
        <v>78</v>
      </c>
      <c r="F152" s="59">
        <v>100</v>
      </c>
      <c r="G152" s="59">
        <v>106</v>
      </c>
      <c r="H152" s="59">
        <v>92</v>
      </c>
      <c r="I152" s="59">
        <v>81</v>
      </c>
      <c r="J152" s="59">
        <v>69</v>
      </c>
      <c r="K152" s="59">
        <v>49</v>
      </c>
      <c r="L152" s="59">
        <v>46</v>
      </c>
    </row>
    <row r="153" spans="2:12" x14ac:dyDescent="0.2">
      <c r="B153" s="58" t="s">
        <v>19</v>
      </c>
      <c r="C153" s="59">
        <v>322</v>
      </c>
      <c r="D153" s="59">
        <v>329</v>
      </c>
      <c r="E153" s="59">
        <v>443</v>
      </c>
      <c r="F153" s="59">
        <v>449</v>
      </c>
      <c r="G153" s="59">
        <v>500</v>
      </c>
      <c r="H153" s="59">
        <v>486</v>
      </c>
      <c r="I153" s="59">
        <v>434</v>
      </c>
      <c r="J153" s="59">
        <v>381</v>
      </c>
      <c r="K153" s="59">
        <v>351</v>
      </c>
      <c r="L153" s="59">
        <v>229</v>
      </c>
    </row>
    <row r="154" spans="2:12" x14ac:dyDescent="0.2">
      <c r="B154" s="58" t="s">
        <v>20</v>
      </c>
      <c r="C154" s="59">
        <v>79</v>
      </c>
      <c r="D154" s="59">
        <v>78</v>
      </c>
      <c r="E154" s="59">
        <v>78</v>
      </c>
      <c r="F154" s="59">
        <v>90</v>
      </c>
      <c r="G154" s="59">
        <v>87</v>
      </c>
      <c r="H154" s="59">
        <v>82</v>
      </c>
      <c r="I154" s="59">
        <v>57</v>
      </c>
      <c r="J154" s="59">
        <v>64</v>
      </c>
      <c r="K154" s="59">
        <v>68</v>
      </c>
      <c r="L154" s="59">
        <v>70</v>
      </c>
    </row>
    <row r="155" spans="2:12" x14ac:dyDescent="0.2">
      <c r="B155" s="58" t="s">
        <v>21</v>
      </c>
      <c r="C155" s="59">
        <v>72</v>
      </c>
      <c r="D155" s="59">
        <v>66</v>
      </c>
      <c r="E155" s="59">
        <v>41</v>
      </c>
      <c r="F155" s="59">
        <v>40</v>
      </c>
      <c r="G155" s="59">
        <v>46</v>
      </c>
      <c r="H155" s="59">
        <v>46</v>
      </c>
      <c r="I155" s="59">
        <v>37</v>
      </c>
      <c r="J155" s="59">
        <v>33</v>
      </c>
      <c r="K155" s="59">
        <v>25</v>
      </c>
      <c r="L155" s="59">
        <v>22</v>
      </c>
    </row>
    <row r="156" spans="2:12" x14ac:dyDescent="0.2">
      <c r="B156" s="58" t="s">
        <v>22</v>
      </c>
      <c r="C156" s="59">
        <v>39</v>
      </c>
      <c r="D156" s="59">
        <v>25</v>
      </c>
      <c r="E156" s="59">
        <v>37</v>
      </c>
      <c r="F156" s="59">
        <v>34</v>
      </c>
      <c r="G156" s="59">
        <v>27</v>
      </c>
      <c r="H156" s="59">
        <v>10</v>
      </c>
      <c r="I156" s="59">
        <v>15</v>
      </c>
      <c r="J156" s="59">
        <v>13</v>
      </c>
      <c r="K156" s="59">
        <v>9</v>
      </c>
      <c r="L156" s="59">
        <v>14</v>
      </c>
    </row>
    <row r="157" spans="2:12" x14ac:dyDescent="0.2">
      <c r="B157" s="58" t="s">
        <v>23</v>
      </c>
      <c r="C157" s="59">
        <v>42</v>
      </c>
      <c r="D157" s="59">
        <v>38</v>
      </c>
      <c r="E157" s="59">
        <v>40</v>
      </c>
      <c r="F157" s="59">
        <v>55</v>
      </c>
      <c r="G157" s="59">
        <v>52</v>
      </c>
      <c r="H157" s="59">
        <v>47</v>
      </c>
      <c r="I157" s="59">
        <v>47</v>
      </c>
      <c r="J157" s="59">
        <v>57</v>
      </c>
      <c r="K157" s="59">
        <v>64</v>
      </c>
      <c r="L157" s="59">
        <v>74</v>
      </c>
    </row>
    <row r="158" spans="2:12" x14ac:dyDescent="0.2">
      <c r="B158" s="58" t="s">
        <v>24</v>
      </c>
      <c r="C158" s="59">
        <v>20</v>
      </c>
      <c r="D158" s="59">
        <v>26</v>
      </c>
      <c r="E158" s="59">
        <v>29</v>
      </c>
      <c r="F158" s="59">
        <v>45</v>
      </c>
      <c r="G158" s="59">
        <v>47</v>
      </c>
      <c r="H158" s="59">
        <v>48</v>
      </c>
      <c r="I158" s="59">
        <v>52</v>
      </c>
      <c r="J158" s="59">
        <v>52</v>
      </c>
      <c r="K158" s="59">
        <v>34</v>
      </c>
      <c r="L158" s="59">
        <v>37</v>
      </c>
    </row>
    <row r="159" spans="2:12" x14ac:dyDescent="0.2">
      <c r="B159" s="58" t="s">
        <v>25</v>
      </c>
      <c r="C159" s="59">
        <v>72</v>
      </c>
      <c r="D159" s="59">
        <v>61</v>
      </c>
      <c r="E159" s="59">
        <v>68</v>
      </c>
      <c r="F159" s="59">
        <v>64</v>
      </c>
      <c r="G159" s="59">
        <v>89</v>
      </c>
      <c r="H159" s="59">
        <v>104</v>
      </c>
      <c r="I159" s="59">
        <v>101</v>
      </c>
      <c r="J159" s="59">
        <v>97</v>
      </c>
      <c r="K159" s="59">
        <v>88</v>
      </c>
      <c r="L159" s="59">
        <v>69</v>
      </c>
    </row>
    <row r="160" spans="2:12" x14ac:dyDescent="0.2">
      <c r="B160" s="61" t="s">
        <v>26</v>
      </c>
      <c r="C160" s="62">
        <v>34</v>
      </c>
      <c r="D160" s="62">
        <v>48</v>
      </c>
      <c r="E160" s="62">
        <v>48</v>
      </c>
      <c r="F160" s="62">
        <v>41</v>
      </c>
      <c r="G160" s="62">
        <v>41</v>
      </c>
      <c r="H160" s="62">
        <v>68</v>
      </c>
      <c r="I160" s="62">
        <v>67</v>
      </c>
      <c r="J160" s="62">
        <v>63</v>
      </c>
      <c r="K160" s="62">
        <v>71</v>
      </c>
      <c r="L160" s="62">
        <v>58</v>
      </c>
    </row>
    <row r="161" spans="2:12" x14ac:dyDescent="0.2">
      <c r="B161" s="20" t="s">
        <v>27</v>
      </c>
      <c r="C161" s="21">
        <f>SUBTOTAL(109,'Undergraduate Ethnicity Trend'!$C$147:$C$160)</f>
        <v>1020</v>
      </c>
      <c r="D161" s="21">
        <f>SUBTOTAL(109,'Undergraduate Ethnicity Trend'!$D$147:$D$160)</f>
        <v>1009</v>
      </c>
      <c r="E161" s="21">
        <f>SUBTOTAL(109,'Undergraduate Ethnicity Trend'!$E$147:$E$160)</f>
        <v>1161</v>
      </c>
      <c r="F161" s="21">
        <f>SUBTOTAL(109,'Undergraduate Ethnicity Trend'!$F$147:$F$160)</f>
        <v>1175</v>
      </c>
      <c r="G161" s="21">
        <f>SUBTOTAL(109,'Undergraduate Ethnicity Trend'!$G$147:$G$160)</f>
        <v>1294</v>
      </c>
      <c r="H161" s="21">
        <f>SUBTOTAL(109,'Undergraduate Ethnicity Trend'!$H$147:$H$160)</f>
        <v>1237</v>
      </c>
      <c r="I161" s="21">
        <f>SUBTOTAL(109,'Undergraduate Ethnicity Trend'!$I$147:$I$160)</f>
        <v>1046</v>
      </c>
      <c r="J161" s="21">
        <f>SUBTOTAL(109,'Undergraduate Ethnicity Trend'!$J$147:$J$160)</f>
        <v>997</v>
      </c>
      <c r="K161" s="21">
        <f>SUBTOTAL(109,'Undergraduate Ethnicity Trend'!$K$147:$K$160)</f>
        <v>916</v>
      </c>
      <c r="L161" s="21">
        <f>SUBTOTAL(109,'Undergraduate Ethnicity Trend'!$L$147:$L$160)</f>
        <v>757</v>
      </c>
    </row>
    <row r="164" spans="2:12" ht="15" x14ac:dyDescent="0.2">
      <c r="B164" s="127" t="s">
        <v>75</v>
      </c>
      <c r="C164" s="127"/>
      <c r="D164" s="127"/>
      <c r="E164" s="127"/>
      <c r="F164" s="127"/>
      <c r="G164" s="127"/>
      <c r="H164" s="127"/>
      <c r="I164" s="127"/>
      <c r="J164" s="127"/>
      <c r="K164" s="127"/>
      <c r="L164" s="127"/>
    </row>
    <row r="165" spans="2:12" ht="30.95" customHeight="1" x14ac:dyDescent="0.2">
      <c r="B165" s="52" t="s">
        <v>1</v>
      </c>
      <c r="C165" s="52" t="str">
        <f>CONCATENATE(IF(RIGHT(Parameters!B1,1) = "1","Fall ", "Spring "),IF(RIGHT(Parameters!B1,1) = "1",LEFT(Parameters!B1,4) -9, LEFT(Parameters!B1,4) - 8))</f>
        <v>Fall 2010</v>
      </c>
      <c r="D165" s="52" t="str">
        <f>CONCATENATE(IF(RIGHT(Parameters!B1,1) = "1","Fall ", "Spring "),IF(RIGHT(Parameters!B1,1) = "1",LEFT(Parameters!B1,4) -8, LEFT(Parameters!B1,4) - 7))</f>
        <v>Fall 2011</v>
      </c>
      <c r="E165" s="52" t="str">
        <f>CONCATENATE(IF(RIGHT(Parameters!B1,1) = "1","Fall ", "Spring "),IF(RIGHT(Parameters!B1,1) = "1",LEFT(Parameters!B1,4) -7, LEFT(Parameters!B1,4) - 6))</f>
        <v>Fall 2012</v>
      </c>
      <c r="F165" s="52" t="str">
        <f>CONCATENATE(IF(RIGHT(Parameters!B1,1) = "1","Fall ", "Spring "),IF(RIGHT(Parameters!B1,1) = "1",LEFT(Parameters!B1,4) -6, LEFT(Parameters!B1,4) - 5))</f>
        <v>Fall 2013</v>
      </c>
      <c r="G165" s="52" t="str">
        <f>CONCATENATE(IF(RIGHT(Parameters!B1,1) = "1","Fall ", "Spring "),IF(RIGHT(Parameters!B1,1) = "1",LEFT(Parameters!B1,4) -5, LEFT(Parameters!B1,4) - 4))</f>
        <v>Fall 2014</v>
      </c>
      <c r="H165" s="52" t="str">
        <f>CONCATENATE(IF(RIGHT(Parameters!B1,1) = "1","Fall ", "Spring "),IF(RIGHT(Parameters!B1,1) = "1",LEFT(Parameters!B1,4) -4, LEFT(Parameters!B1,4) - 3))</f>
        <v>Fall 2015</v>
      </c>
      <c r="I165" s="52" t="str">
        <f>CONCATENATE(IF(RIGHT(Parameters!B1,1) = "1","Fall ", "Spring "),IF(RIGHT(Parameters!B1,1) = "1",LEFT(Parameters!B1,4) -3, LEFT(Parameters!B1,4) - 2))</f>
        <v>Fall 2016</v>
      </c>
      <c r="J165" s="52" t="str">
        <f>CONCATENATE(IF(RIGHT(Parameters!B1,1) = "1","Fall ", "Spring "),IF(RIGHT(Parameters!B1,1) = "1",LEFT(Parameters!B1,4) -2, LEFT(Parameters!B1,4) - 1))</f>
        <v>Fall 2017</v>
      </c>
      <c r="K165" s="52" t="str">
        <f>CONCATENATE(IF(RIGHT(Parameters!B1,1) = "1","Fall ", "Spring "),IF(RIGHT(Parameters!B1,1) = "1",LEFT(Parameters!B1,4) -1, LEFT(Parameters!B1,4) ))</f>
        <v>Fall 2018</v>
      </c>
      <c r="L165" s="52" t="str">
        <f>CONCATENATE(IF(RIGHT(Parameters!B1,1) = "1","Fall ", "Spring "),IF(RIGHT(Parameters!B1,1) = "1",LEFT(Parameters!B1,4), LEFT(Parameters!B1,4) + 1))</f>
        <v>Fall 2019</v>
      </c>
    </row>
    <row r="166" spans="2:12" ht="16.5" hidden="1" customHeight="1" x14ac:dyDescent="0.2">
      <c r="B166" s="26" t="s">
        <v>2</v>
      </c>
      <c r="C166" s="26" t="s">
        <v>3</v>
      </c>
      <c r="D166" s="26" t="s">
        <v>4</v>
      </c>
      <c r="E166" s="26" t="s">
        <v>5</v>
      </c>
      <c r="F166" s="26" t="s">
        <v>6</v>
      </c>
      <c r="G166" s="26" t="s">
        <v>7</v>
      </c>
      <c r="H166" s="26" t="s">
        <v>8</v>
      </c>
      <c r="I166" s="26" t="s">
        <v>9</v>
      </c>
      <c r="J166" s="26" t="s">
        <v>10</v>
      </c>
      <c r="K166" s="26" t="s">
        <v>11</v>
      </c>
      <c r="L166" s="26" t="s">
        <v>12</v>
      </c>
    </row>
    <row r="167" spans="2:12" x14ac:dyDescent="0.2">
      <c r="B167" s="56" t="s">
        <v>13</v>
      </c>
      <c r="C167" s="57">
        <v>523</v>
      </c>
      <c r="D167" s="57">
        <v>386</v>
      </c>
      <c r="E167" s="57">
        <v>244</v>
      </c>
      <c r="F167" s="57">
        <v>180</v>
      </c>
      <c r="G167" s="57">
        <v>120</v>
      </c>
      <c r="H167" s="57">
        <v>110</v>
      </c>
      <c r="I167" s="57">
        <v>96</v>
      </c>
      <c r="J167" s="57">
        <v>109</v>
      </c>
      <c r="K167" s="57">
        <v>321</v>
      </c>
      <c r="L167" s="57">
        <v>410</v>
      </c>
    </row>
    <row r="168" spans="2:12" x14ac:dyDescent="0.2">
      <c r="B168" s="58" t="s">
        <v>14</v>
      </c>
      <c r="C168" s="59">
        <v>420</v>
      </c>
      <c r="D168" s="59">
        <v>584</v>
      </c>
      <c r="E168" s="59">
        <v>479</v>
      </c>
      <c r="F168" s="59">
        <v>372</v>
      </c>
      <c r="G168" s="59">
        <v>222</v>
      </c>
      <c r="H168" s="59">
        <v>128</v>
      </c>
      <c r="I168" s="59">
        <v>115</v>
      </c>
      <c r="J168" s="59">
        <v>110</v>
      </c>
      <c r="K168" s="59">
        <v>139</v>
      </c>
      <c r="L168" s="59">
        <v>150</v>
      </c>
    </row>
    <row r="169" spans="2:12" x14ac:dyDescent="0.2">
      <c r="B169" s="58" t="s">
        <v>15</v>
      </c>
      <c r="C169" s="59">
        <v>360</v>
      </c>
      <c r="D169" s="59">
        <v>35</v>
      </c>
      <c r="E169" s="59">
        <v>34</v>
      </c>
      <c r="F169" s="59">
        <v>25</v>
      </c>
      <c r="G169" s="59">
        <v>55</v>
      </c>
      <c r="H169" s="59">
        <v>38</v>
      </c>
      <c r="I169" s="59">
        <v>51</v>
      </c>
      <c r="J169" s="59">
        <v>72</v>
      </c>
      <c r="K169" s="59">
        <v>29</v>
      </c>
      <c r="L169" s="59">
        <v>29</v>
      </c>
    </row>
    <row r="170" spans="2:12" x14ac:dyDescent="0.2">
      <c r="B170" s="58" t="s">
        <v>16</v>
      </c>
      <c r="C170" s="59">
        <v>181</v>
      </c>
      <c r="D170" s="59">
        <v>181</v>
      </c>
      <c r="E170" s="59">
        <v>142</v>
      </c>
      <c r="F170" s="59">
        <v>148</v>
      </c>
      <c r="G170" s="59">
        <v>141</v>
      </c>
      <c r="H170" s="59">
        <v>139</v>
      </c>
      <c r="I170" s="59">
        <v>93</v>
      </c>
      <c r="J170" s="59">
        <v>154</v>
      </c>
      <c r="K170" s="59">
        <v>136</v>
      </c>
      <c r="L170" s="59">
        <v>159</v>
      </c>
    </row>
    <row r="171" spans="2:12" x14ac:dyDescent="0.2">
      <c r="B171" s="58" t="s">
        <v>17</v>
      </c>
      <c r="C171" s="59">
        <v>479</v>
      </c>
      <c r="D171" s="59">
        <v>883</v>
      </c>
      <c r="E171" s="59">
        <v>1017</v>
      </c>
      <c r="F171" s="59">
        <v>798</v>
      </c>
      <c r="G171" s="59">
        <v>512</v>
      </c>
      <c r="H171" s="59">
        <v>58</v>
      </c>
      <c r="I171" s="59">
        <v>105</v>
      </c>
      <c r="J171" s="59">
        <v>136</v>
      </c>
      <c r="K171" s="59">
        <v>185</v>
      </c>
      <c r="L171" s="59">
        <v>182</v>
      </c>
    </row>
    <row r="172" spans="2:12" x14ac:dyDescent="0.2">
      <c r="B172" s="58" t="s">
        <v>18</v>
      </c>
      <c r="C172" s="59">
        <v>27</v>
      </c>
      <c r="D172" s="59">
        <v>27</v>
      </c>
      <c r="E172" s="59">
        <v>22</v>
      </c>
      <c r="F172" s="59">
        <v>38</v>
      </c>
      <c r="G172" s="59">
        <v>66</v>
      </c>
      <c r="H172" s="59">
        <v>86</v>
      </c>
      <c r="I172" s="59">
        <v>79</v>
      </c>
      <c r="J172" s="59">
        <v>85</v>
      </c>
      <c r="K172" s="59">
        <v>105</v>
      </c>
      <c r="L172" s="59">
        <v>202</v>
      </c>
    </row>
    <row r="173" spans="2:12" x14ac:dyDescent="0.2">
      <c r="B173" s="58" t="s">
        <v>19</v>
      </c>
      <c r="C173" s="59">
        <v>505</v>
      </c>
      <c r="D173" s="59">
        <v>338</v>
      </c>
      <c r="E173" s="59">
        <v>253</v>
      </c>
      <c r="F173" s="59">
        <v>233</v>
      </c>
      <c r="G173" s="59">
        <v>165</v>
      </c>
      <c r="H173" s="59">
        <v>135</v>
      </c>
      <c r="I173" s="59">
        <v>116</v>
      </c>
      <c r="J173" s="59">
        <v>134</v>
      </c>
      <c r="K173" s="59">
        <v>143</v>
      </c>
      <c r="L173" s="59">
        <v>137</v>
      </c>
    </row>
    <row r="174" spans="2:12" x14ac:dyDescent="0.2">
      <c r="B174" s="58" t="s">
        <v>20</v>
      </c>
      <c r="C174" s="59">
        <v>202</v>
      </c>
      <c r="D174" s="59">
        <v>206</v>
      </c>
      <c r="E174" s="59">
        <v>177</v>
      </c>
      <c r="F174" s="59">
        <v>137</v>
      </c>
      <c r="G174" s="59">
        <v>140</v>
      </c>
      <c r="H174" s="59">
        <v>153</v>
      </c>
      <c r="I174" s="59">
        <v>118</v>
      </c>
      <c r="J174" s="59">
        <v>105</v>
      </c>
      <c r="K174" s="59">
        <v>185</v>
      </c>
      <c r="L174" s="59">
        <v>238</v>
      </c>
    </row>
    <row r="175" spans="2:12" x14ac:dyDescent="0.2">
      <c r="B175" s="58" t="s">
        <v>21</v>
      </c>
      <c r="C175" s="59">
        <v>25</v>
      </c>
      <c r="D175" s="59">
        <v>27</v>
      </c>
      <c r="E175" s="59">
        <v>33</v>
      </c>
      <c r="F175" s="59">
        <v>29</v>
      </c>
      <c r="G175" s="59">
        <v>78</v>
      </c>
      <c r="H175" s="59">
        <v>67</v>
      </c>
      <c r="I175" s="59">
        <v>56</v>
      </c>
      <c r="J175" s="59">
        <v>132</v>
      </c>
      <c r="K175" s="59">
        <v>89</v>
      </c>
      <c r="L175" s="59">
        <v>43</v>
      </c>
    </row>
    <row r="176" spans="2:12" x14ac:dyDescent="0.2">
      <c r="B176" s="58" t="s">
        <v>22</v>
      </c>
      <c r="C176" s="59">
        <v>224</v>
      </c>
      <c r="D176" s="59">
        <v>168</v>
      </c>
      <c r="E176" s="59">
        <v>125</v>
      </c>
      <c r="F176" s="59">
        <v>86</v>
      </c>
      <c r="G176" s="59">
        <v>57</v>
      </c>
      <c r="H176" s="59">
        <v>43</v>
      </c>
      <c r="I176" s="59">
        <v>41</v>
      </c>
      <c r="J176" s="59">
        <v>56</v>
      </c>
      <c r="K176" s="59">
        <v>51</v>
      </c>
      <c r="L176" s="59">
        <v>68</v>
      </c>
    </row>
    <row r="177" spans="2:12" x14ac:dyDescent="0.2">
      <c r="B177" s="58" t="s">
        <v>23</v>
      </c>
      <c r="C177" s="59">
        <v>109</v>
      </c>
      <c r="D177" s="59">
        <v>85</v>
      </c>
      <c r="E177" s="59">
        <v>54</v>
      </c>
      <c r="F177" s="59">
        <v>37</v>
      </c>
      <c r="G177" s="59">
        <v>32</v>
      </c>
      <c r="H177" s="59">
        <v>37</v>
      </c>
      <c r="I177" s="59">
        <v>103</v>
      </c>
      <c r="J177" s="59">
        <v>82</v>
      </c>
      <c r="K177" s="59">
        <v>86</v>
      </c>
      <c r="L177" s="59">
        <v>91</v>
      </c>
    </row>
    <row r="178" spans="2:12" x14ac:dyDescent="0.2">
      <c r="B178" s="58" t="s">
        <v>24</v>
      </c>
      <c r="C178" s="59">
        <v>399</v>
      </c>
      <c r="D178" s="59">
        <v>308</v>
      </c>
      <c r="E178" s="59">
        <v>219</v>
      </c>
      <c r="F178" s="59">
        <v>164</v>
      </c>
      <c r="G178" s="59">
        <v>104</v>
      </c>
      <c r="H178" s="59">
        <v>89</v>
      </c>
      <c r="I178" s="59">
        <v>67</v>
      </c>
      <c r="J178" s="59">
        <v>45</v>
      </c>
      <c r="K178" s="59">
        <v>52</v>
      </c>
      <c r="L178" s="59">
        <v>53</v>
      </c>
    </row>
    <row r="179" spans="2:12" x14ac:dyDescent="0.2">
      <c r="B179" s="58" t="s">
        <v>25</v>
      </c>
      <c r="C179" s="59">
        <v>462</v>
      </c>
      <c r="D179" s="59">
        <v>428</v>
      </c>
      <c r="E179" s="59">
        <v>358</v>
      </c>
      <c r="F179" s="59">
        <v>238</v>
      </c>
      <c r="G179" s="59">
        <v>172</v>
      </c>
      <c r="H179" s="59">
        <v>113</v>
      </c>
      <c r="I179" s="59">
        <v>89</v>
      </c>
      <c r="J179" s="59">
        <v>72</v>
      </c>
      <c r="K179" s="59">
        <v>97</v>
      </c>
      <c r="L179" s="59">
        <v>108</v>
      </c>
    </row>
    <row r="180" spans="2:12" x14ac:dyDescent="0.2">
      <c r="B180" s="61" t="s">
        <v>26</v>
      </c>
      <c r="C180" s="62">
        <v>47</v>
      </c>
      <c r="D180" s="62">
        <v>37</v>
      </c>
      <c r="E180" s="62">
        <v>75</v>
      </c>
      <c r="F180" s="62">
        <v>13</v>
      </c>
      <c r="G180" s="62">
        <v>51</v>
      </c>
      <c r="H180" s="62">
        <v>88</v>
      </c>
      <c r="I180" s="62">
        <v>107</v>
      </c>
      <c r="J180" s="62">
        <v>140</v>
      </c>
      <c r="K180" s="62">
        <v>178</v>
      </c>
      <c r="L180" s="62">
        <v>286</v>
      </c>
    </row>
    <row r="181" spans="2:12" x14ac:dyDescent="0.2">
      <c r="B181" s="20" t="s">
        <v>27</v>
      </c>
      <c r="C181" s="21">
        <f>SUBTOTAL(109,'Undergraduate Ethnicity Trend'!$C$167:$C$180)</f>
        <v>3963</v>
      </c>
      <c r="D181" s="21">
        <f>SUBTOTAL(109,'Undergraduate Ethnicity Trend'!$D$167:$D$180)</f>
        <v>3693</v>
      </c>
      <c r="E181" s="21">
        <f>SUBTOTAL(109,'Undergraduate Ethnicity Trend'!$E$167:$E$180)</f>
        <v>3232</v>
      </c>
      <c r="F181" s="21">
        <f>SUBTOTAL(109,'Undergraduate Ethnicity Trend'!$F$167:$F$180)</f>
        <v>2498</v>
      </c>
      <c r="G181" s="21">
        <f>SUBTOTAL(109,'Undergraduate Ethnicity Trend'!$G$167:$G$180)</f>
        <v>1915</v>
      </c>
      <c r="H181" s="21">
        <f>SUBTOTAL(109,'Undergraduate Ethnicity Trend'!$H$167:$H$180)</f>
        <v>1284</v>
      </c>
      <c r="I181" s="21">
        <f>SUBTOTAL(109,'Undergraduate Ethnicity Trend'!$I$167:$I$180)</f>
        <v>1236</v>
      </c>
      <c r="J181" s="21">
        <f>SUBTOTAL(109,'Undergraduate Ethnicity Trend'!$J$167:$J$180)</f>
        <v>1432</v>
      </c>
      <c r="K181" s="21">
        <f>SUBTOTAL(109,'Undergraduate Ethnicity Trend'!$K$167:$K$180)</f>
        <v>1796</v>
      </c>
      <c r="L181" s="21">
        <f>SUBTOTAL(109,'Undergraduate Ethnicity Trend'!$L$167:$L$180)</f>
        <v>2156</v>
      </c>
    </row>
    <row r="183" spans="2:12" x14ac:dyDescent="0.2">
      <c r="B183" s="6" t="s">
        <v>29</v>
      </c>
      <c r="C183" s="60"/>
      <c r="D183" s="60"/>
      <c r="E183" s="60"/>
      <c r="F183" s="60"/>
      <c r="G183" s="60"/>
      <c r="H183" s="60"/>
      <c r="I183" s="60"/>
      <c r="J183" s="60"/>
      <c r="K183" s="60"/>
      <c r="L183" s="60"/>
    </row>
    <row r="184" spans="2:12" x14ac:dyDescent="0.2">
      <c r="B184" s="9" t="s">
        <v>30</v>
      </c>
      <c r="C184" s="60"/>
      <c r="D184" s="60"/>
      <c r="E184" s="60"/>
      <c r="F184" s="60"/>
      <c r="G184" s="60"/>
      <c r="H184" s="60"/>
      <c r="I184" s="60"/>
      <c r="J184" s="60"/>
      <c r="K184" s="60"/>
      <c r="L184" s="60"/>
    </row>
    <row r="185" spans="2:12" x14ac:dyDescent="0.2">
      <c r="B185" s="9" t="s">
        <v>31</v>
      </c>
      <c r="C185" s="60"/>
      <c r="D185" s="60"/>
      <c r="E185" s="60"/>
      <c r="F185" s="60"/>
      <c r="G185" s="60"/>
      <c r="H185" s="60"/>
      <c r="I185" s="60"/>
      <c r="J185" s="60"/>
      <c r="K185" s="60"/>
      <c r="L185" s="60"/>
    </row>
  </sheetData>
  <mergeCells count="11">
    <mergeCell ref="B104:L104"/>
    <mergeCell ref="B124:L124"/>
    <mergeCell ref="B144:L144"/>
    <mergeCell ref="B164:L164"/>
    <mergeCell ref="B2:L2"/>
    <mergeCell ref="B84:L84"/>
    <mergeCell ref="B1:L1"/>
    <mergeCell ref="B4:L4"/>
    <mergeCell ref="B24:L24"/>
    <mergeCell ref="B44:L44"/>
    <mergeCell ref="B64:L64"/>
  </mergeCells>
  <printOptions horizontalCentered="1"/>
  <pageMargins left="0.5" right="0.5" top="1" bottom="0.5" header="0.3" footer="0.3"/>
  <pageSetup scale="70" fitToHeight="0" orientation="landscape" r:id="rId1"/>
  <headerFooter>
    <oddHeader>&amp;L&amp;"Arial,Regular"&amp;10Pennsylvania's State System of Higher Education | &amp;D
Office of Educational Intelligence | Page &amp;P of &amp;N</oddHeader>
  </headerFooter>
  <rowBreaks count="4" manualBreakCount="4">
    <brk id="42" min="1" max="11" man="1"/>
    <brk id="82" min="1" max="11" man="1"/>
    <brk id="122" min="1" max="11" man="1"/>
    <brk id="162" min="1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B1:L185"/>
  <sheetViews>
    <sheetView zoomScaleNormal="100" workbookViewId="0">
      <selection activeCell="C13" sqref="C13"/>
    </sheetView>
  </sheetViews>
  <sheetFormatPr defaultRowHeight="14.25" x14ac:dyDescent="0.2"/>
  <cols>
    <col min="1" max="1" width="9.140625" style="5"/>
    <col min="2" max="2" width="23.5703125" style="5" customWidth="1"/>
    <col min="3" max="12" width="15.7109375" style="5" customWidth="1"/>
    <col min="13" max="16384" width="9.140625" style="5"/>
  </cols>
  <sheetData>
    <row r="1" spans="2:12" ht="15" x14ac:dyDescent="0.2">
      <c r="B1" s="126" t="s">
        <v>0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spans="2:12" ht="15" x14ac:dyDescent="0.2">
      <c r="B2" s="126" t="s">
        <v>77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</row>
    <row r="3" spans="2:12" x14ac:dyDescent="0.2"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2:12" ht="15" x14ac:dyDescent="0.2">
      <c r="B4" s="127" t="s">
        <v>67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</row>
    <row r="5" spans="2:12" ht="30.95" customHeight="1" x14ac:dyDescent="0.2">
      <c r="B5" s="52" t="s">
        <v>1</v>
      </c>
      <c r="C5" s="52" t="str">
        <f>CONCATENATE(IF(RIGHT(Parameters!B1,1) = "1","Fall ", "Spring "),IF(RIGHT(Parameters!B1,1) = "1",LEFT(Parameters!B1,4) -9, LEFT(Parameters!B1,4) - 8))</f>
        <v>Fall 2010</v>
      </c>
      <c r="D5" s="52" t="str">
        <f>CONCATENATE(IF(RIGHT(Parameters!B1,1) = "1","Fall ", "Spring "),IF(RIGHT(Parameters!B1,1) = "1",LEFT(Parameters!B1,4) -8, LEFT(Parameters!B1,4) - 7))</f>
        <v>Fall 2011</v>
      </c>
      <c r="E5" s="52" t="str">
        <f>CONCATENATE(IF(RIGHT(Parameters!B1,1) = "1","Fall ", "Spring "),IF(RIGHT(Parameters!B1,1) = "1",LEFT(Parameters!B1,4) -7, LEFT(Parameters!B1,4) - 6))</f>
        <v>Fall 2012</v>
      </c>
      <c r="F5" s="52" t="str">
        <f>CONCATENATE(IF(RIGHT(Parameters!B1,1) = "1","Fall ", "Spring "),IF(RIGHT(Parameters!B1,1) = "1",LEFT(Parameters!B1,4) -6, LEFT(Parameters!B1,4) - 5))</f>
        <v>Fall 2013</v>
      </c>
      <c r="G5" s="52" t="str">
        <f>CONCATENATE(IF(RIGHT(Parameters!B1,1) = "1","Fall ", "Spring "),IF(RIGHT(Parameters!B1,1) = "1",LEFT(Parameters!B1,4) -5, LEFT(Parameters!B1,4) - 4))</f>
        <v>Fall 2014</v>
      </c>
      <c r="H5" s="52" t="str">
        <f>CONCATENATE(IF(RIGHT(Parameters!B1,1) = "1","Fall ", "Spring "),IF(RIGHT(Parameters!B1,1) = "1",LEFT(Parameters!B1,4) -4, LEFT(Parameters!B1,4) - 3))</f>
        <v>Fall 2015</v>
      </c>
      <c r="I5" s="52" t="str">
        <f>CONCATENATE(IF(RIGHT(Parameters!B1,1) = "1","Fall ", "Spring "),IF(RIGHT(Parameters!B1,1) = "1",LEFT(Parameters!B1,4) -3, LEFT(Parameters!B1,4) - 2))</f>
        <v>Fall 2016</v>
      </c>
      <c r="J5" s="52" t="str">
        <f>CONCATENATE(IF(RIGHT(Parameters!B1,1) = "1","Fall ", "Spring "),IF(RIGHT(Parameters!B1,1) = "1",LEFT(Parameters!B1,4) -2, LEFT(Parameters!B1,4) - 1))</f>
        <v>Fall 2017</v>
      </c>
      <c r="K5" s="52" t="str">
        <f>CONCATENATE(IF(RIGHT(Parameters!B1,1) = "1","Fall ", "Spring "),IF(RIGHT(Parameters!B1,1) = "1",LEFT(Parameters!B1,4) -1, LEFT(Parameters!B1,4) ))</f>
        <v>Fall 2018</v>
      </c>
      <c r="L5" s="52" t="str">
        <f>CONCATENATE(IF(RIGHT(Parameters!B1,1) = "1","Fall ", "Spring "),IF(RIGHT(Parameters!B1,1) = "1",LEFT(Parameters!B1,4), LEFT(Parameters!B1,4) + 1))</f>
        <v>Fall 2019</v>
      </c>
    </row>
    <row r="6" spans="2:12" ht="16.5" hidden="1" customHeight="1" x14ac:dyDescent="0.2">
      <c r="B6" s="66" t="s">
        <v>2</v>
      </c>
      <c r="C6" s="66" t="s">
        <v>3</v>
      </c>
      <c r="D6" s="66" t="s">
        <v>4</v>
      </c>
      <c r="E6" s="66" t="s">
        <v>5</v>
      </c>
      <c r="F6" s="66" t="s">
        <v>6</v>
      </c>
      <c r="G6" s="66" t="s">
        <v>7</v>
      </c>
      <c r="H6" s="66" t="s">
        <v>8</v>
      </c>
      <c r="I6" s="66" t="s">
        <v>9</v>
      </c>
      <c r="J6" s="66" t="s">
        <v>10</v>
      </c>
      <c r="K6" s="66" t="s">
        <v>11</v>
      </c>
      <c r="L6" s="66" t="s">
        <v>12</v>
      </c>
    </row>
    <row r="7" spans="2:12" x14ac:dyDescent="0.2">
      <c r="B7" s="56" t="s">
        <v>13</v>
      </c>
      <c r="C7" s="57">
        <v>27</v>
      </c>
      <c r="D7" s="57">
        <v>36</v>
      </c>
      <c r="E7" s="57">
        <v>32</v>
      </c>
      <c r="F7" s="57">
        <v>31</v>
      </c>
      <c r="G7" s="57">
        <v>27</v>
      </c>
      <c r="H7" s="57">
        <v>19</v>
      </c>
      <c r="I7" s="57">
        <v>25</v>
      </c>
      <c r="J7" s="57">
        <v>26</v>
      </c>
      <c r="K7" s="57">
        <v>28</v>
      </c>
      <c r="L7" s="57">
        <v>28</v>
      </c>
    </row>
    <row r="8" spans="2:12" x14ac:dyDescent="0.2">
      <c r="B8" s="58" t="s">
        <v>14</v>
      </c>
      <c r="C8" s="59">
        <v>148</v>
      </c>
      <c r="D8" s="59">
        <v>95</v>
      </c>
      <c r="E8" s="59">
        <v>150</v>
      </c>
      <c r="F8" s="59">
        <v>146</v>
      </c>
      <c r="G8" s="59">
        <v>196</v>
      </c>
      <c r="H8" s="59">
        <v>184</v>
      </c>
      <c r="I8" s="59">
        <v>184</v>
      </c>
      <c r="J8" s="59">
        <v>191</v>
      </c>
      <c r="K8" s="59">
        <v>174</v>
      </c>
      <c r="L8" s="59">
        <v>152</v>
      </c>
    </row>
    <row r="9" spans="2:12" x14ac:dyDescent="0.2">
      <c r="B9" s="58" t="s">
        <v>15</v>
      </c>
      <c r="C9" s="59">
        <v>69</v>
      </c>
      <c r="D9" s="59">
        <v>55</v>
      </c>
      <c r="E9" s="59">
        <v>51</v>
      </c>
      <c r="F9" s="59">
        <v>25</v>
      </c>
      <c r="G9" s="59">
        <v>23</v>
      </c>
      <c r="H9" s="59">
        <v>21</v>
      </c>
      <c r="I9" s="59">
        <v>31</v>
      </c>
      <c r="J9" s="59">
        <v>16</v>
      </c>
      <c r="K9" s="59">
        <v>0</v>
      </c>
      <c r="L9" s="59">
        <v>0</v>
      </c>
    </row>
    <row r="10" spans="2:12" x14ac:dyDescent="0.2">
      <c r="B10" s="58" t="s">
        <v>16</v>
      </c>
      <c r="C10" s="59">
        <v>26</v>
      </c>
      <c r="D10" s="59">
        <v>27</v>
      </c>
      <c r="E10" s="59">
        <v>23</v>
      </c>
      <c r="F10" s="59">
        <v>17</v>
      </c>
      <c r="G10" s="59">
        <v>18</v>
      </c>
      <c r="H10" s="59">
        <v>24</v>
      </c>
      <c r="I10" s="59">
        <v>34</v>
      </c>
      <c r="J10" s="59">
        <v>44</v>
      </c>
      <c r="K10" s="59">
        <v>45</v>
      </c>
      <c r="L10" s="59">
        <v>42</v>
      </c>
    </row>
    <row r="11" spans="2:12" x14ac:dyDescent="0.2">
      <c r="B11" s="58" t="s">
        <v>17</v>
      </c>
      <c r="C11" s="59">
        <v>34</v>
      </c>
      <c r="D11" s="59">
        <v>22</v>
      </c>
      <c r="E11" s="59">
        <v>21</v>
      </c>
      <c r="F11" s="59">
        <v>35</v>
      </c>
      <c r="G11" s="59">
        <v>37</v>
      </c>
      <c r="H11" s="59">
        <v>50</v>
      </c>
      <c r="I11" s="59">
        <v>39</v>
      </c>
      <c r="J11" s="59">
        <v>35</v>
      </c>
      <c r="K11" s="59">
        <v>28</v>
      </c>
      <c r="L11" s="59">
        <v>45</v>
      </c>
    </row>
    <row r="12" spans="2:12" x14ac:dyDescent="0.2">
      <c r="B12" s="58" t="s">
        <v>18</v>
      </c>
      <c r="C12" s="59">
        <v>50</v>
      </c>
      <c r="D12" s="59">
        <v>43</v>
      </c>
      <c r="E12" s="59">
        <v>54</v>
      </c>
      <c r="F12" s="59">
        <v>67</v>
      </c>
      <c r="G12" s="59">
        <v>77</v>
      </c>
      <c r="H12" s="59">
        <v>95</v>
      </c>
      <c r="I12" s="59">
        <v>92</v>
      </c>
      <c r="J12" s="59">
        <v>93</v>
      </c>
      <c r="K12" s="59">
        <v>97</v>
      </c>
      <c r="L12" s="59">
        <v>69</v>
      </c>
    </row>
    <row r="13" spans="2:12" x14ac:dyDescent="0.2">
      <c r="B13" s="58" t="s">
        <v>19</v>
      </c>
      <c r="C13" s="59">
        <v>100</v>
      </c>
      <c r="D13" s="59">
        <v>115</v>
      </c>
      <c r="E13" s="59">
        <v>119</v>
      </c>
      <c r="F13" s="59">
        <v>118</v>
      </c>
      <c r="G13" s="59">
        <v>125</v>
      </c>
      <c r="H13" s="59">
        <v>105</v>
      </c>
      <c r="I13" s="59">
        <v>105</v>
      </c>
      <c r="J13" s="59">
        <v>120</v>
      </c>
      <c r="K13" s="59">
        <v>129</v>
      </c>
      <c r="L13" s="59">
        <v>145</v>
      </c>
    </row>
    <row r="14" spans="2:12" x14ac:dyDescent="0.2">
      <c r="B14" s="58" t="s">
        <v>20</v>
      </c>
      <c r="C14" s="59">
        <v>40</v>
      </c>
      <c r="D14" s="59">
        <v>35</v>
      </c>
      <c r="E14" s="59">
        <v>24</v>
      </c>
      <c r="F14" s="59">
        <v>23</v>
      </c>
      <c r="G14" s="59">
        <v>23</v>
      </c>
      <c r="H14" s="59">
        <v>34</v>
      </c>
      <c r="I14" s="59">
        <v>40</v>
      </c>
      <c r="J14" s="59">
        <v>51</v>
      </c>
      <c r="K14" s="59">
        <v>47</v>
      </c>
      <c r="L14" s="59">
        <v>54</v>
      </c>
    </row>
    <row r="15" spans="2:12" x14ac:dyDescent="0.2">
      <c r="B15" s="58" t="s">
        <v>21</v>
      </c>
      <c r="C15" s="59">
        <v>11</v>
      </c>
      <c r="D15" s="59">
        <v>8</v>
      </c>
      <c r="E15" s="59">
        <v>5</v>
      </c>
      <c r="F15" s="59">
        <v>12</v>
      </c>
      <c r="G15" s="59">
        <v>10</v>
      </c>
      <c r="H15" s="59">
        <v>11</v>
      </c>
      <c r="I15" s="59">
        <v>12</v>
      </c>
      <c r="J15" s="59">
        <v>10</v>
      </c>
      <c r="K15" s="59">
        <v>10</v>
      </c>
      <c r="L15" s="59">
        <v>18</v>
      </c>
    </row>
    <row r="16" spans="2:12" x14ac:dyDescent="0.2">
      <c r="B16" s="58" t="s">
        <v>22</v>
      </c>
      <c r="C16" s="59">
        <v>8</v>
      </c>
      <c r="D16" s="59">
        <v>12</v>
      </c>
      <c r="E16" s="59">
        <v>9</v>
      </c>
      <c r="F16" s="59">
        <v>14</v>
      </c>
      <c r="G16" s="59">
        <v>8</v>
      </c>
      <c r="H16" s="59">
        <v>4</v>
      </c>
      <c r="I16" s="59">
        <v>1</v>
      </c>
      <c r="J16" s="59">
        <v>0</v>
      </c>
      <c r="K16" s="59">
        <v>0</v>
      </c>
      <c r="L16" s="59">
        <v>0</v>
      </c>
    </row>
    <row r="17" spans="2:12" x14ac:dyDescent="0.2">
      <c r="B17" s="58" t="s">
        <v>23</v>
      </c>
      <c r="C17" s="59">
        <v>28</v>
      </c>
      <c r="D17" s="59">
        <v>35</v>
      </c>
      <c r="E17" s="59">
        <v>37</v>
      </c>
      <c r="F17" s="59">
        <v>37</v>
      </c>
      <c r="G17" s="59">
        <v>38</v>
      </c>
      <c r="H17" s="59">
        <v>34</v>
      </c>
      <c r="I17" s="59">
        <v>39</v>
      </c>
      <c r="J17" s="59">
        <v>41</v>
      </c>
      <c r="K17" s="59">
        <v>52</v>
      </c>
      <c r="L17" s="59">
        <v>48</v>
      </c>
    </row>
    <row r="18" spans="2:12" x14ac:dyDescent="0.2">
      <c r="B18" s="58" t="s">
        <v>24</v>
      </c>
      <c r="C18" s="59">
        <v>81</v>
      </c>
      <c r="D18" s="59">
        <v>40</v>
      </c>
      <c r="E18" s="59">
        <v>39</v>
      </c>
      <c r="F18" s="59">
        <v>53</v>
      </c>
      <c r="G18" s="59">
        <v>65</v>
      </c>
      <c r="H18" s="59">
        <v>69</v>
      </c>
      <c r="I18" s="59">
        <v>68</v>
      </c>
      <c r="J18" s="59">
        <v>64</v>
      </c>
      <c r="K18" s="59">
        <v>70</v>
      </c>
      <c r="L18" s="59">
        <v>55</v>
      </c>
    </row>
    <row r="19" spans="2:12" x14ac:dyDescent="0.2">
      <c r="B19" s="58" t="s">
        <v>25</v>
      </c>
      <c r="C19" s="59">
        <v>14</v>
      </c>
      <c r="D19" s="59">
        <v>16</v>
      </c>
      <c r="E19" s="59">
        <v>14</v>
      </c>
      <c r="F19" s="59">
        <v>19</v>
      </c>
      <c r="G19" s="59">
        <v>30</v>
      </c>
      <c r="H19" s="59">
        <v>29</v>
      </c>
      <c r="I19" s="59">
        <v>35</v>
      </c>
      <c r="J19" s="59">
        <v>44</v>
      </c>
      <c r="K19" s="59">
        <v>33</v>
      </c>
      <c r="L19" s="59">
        <v>38</v>
      </c>
    </row>
    <row r="20" spans="2:12" x14ac:dyDescent="0.2">
      <c r="B20" s="61" t="s">
        <v>26</v>
      </c>
      <c r="C20" s="62">
        <v>194</v>
      </c>
      <c r="D20" s="62">
        <v>231</v>
      </c>
      <c r="E20" s="62">
        <v>236</v>
      </c>
      <c r="F20" s="62">
        <v>256</v>
      </c>
      <c r="G20" s="62">
        <v>295</v>
      </c>
      <c r="H20" s="62">
        <v>319</v>
      </c>
      <c r="I20" s="62">
        <v>376</v>
      </c>
      <c r="J20" s="62">
        <v>386</v>
      </c>
      <c r="K20" s="62">
        <v>387</v>
      </c>
      <c r="L20" s="62">
        <v>436</v>
      </c>
    </row>
    <row r="21" spans="2:12" x14ac:dyDescent="0.2">
      <c r="B21" s="24" t="s">
        <v>27</v>
      </c>
      <c r="C21" s="25">
        <f>SUBTOTAL(109,'Graduate Ethnicity Trend'!$C$7:$C$20)</f>
        <v>830</v>
      </c>
      <c r="D21" s="25">
        <f>SUBTOTAL(109,'Graduate Ethnicity Trend'!$D$7:$D$20)</f>
        <v>770</v>
      </c>
      <c r="E21" s="25">
        <f>SUBTOTAL(109,'Graduate Ethnicity Trend'!$E$7:$E$20)</f>
        <v>814</v>
      </c>
      <c r="F21" s="25">
        <f>SUBTOTAL(109,'Graduate Ethnicity Trend'!$F$7:$F$20)</f>
        <v>853</v>
      </c>
      <c r="G21" s="25">
        <f>SUBTOTAL(109,'Graduate Ethnicity Trend'!$G$7:$G$20)</f>
        <v>972</v>
      </c>
      <c r="H21" s="25">
        <f>SUBTOTAL(109,'Graduate Ethnicity Trend'!$H$7:$H$20)</f>
        <v>998</v>
      </c>
      <c r="I21" s="25">
        <f>SUBTOTAL(109,'Graduate Ethnicity Trend'!$I$7:$I$20)</f>
        <v>1081</v>
      </c>
      <c r="J21" s="25">
        <f>SUBTOTAL(109,'Graduate Ethnicity Trend'!$J$7:$J$20)</f>
        <v>1121</v>
      </c>
      <c r="K21" s="25">
        <f>SUBTOTAL(109,'Graduate Ethnicity Trend'!$K$7:$K$20)</f>
        <v>1100</v>
      </c>
      <c r="L21" s="25">
        <f>SUBTOTAL(109,'Graduate Ethnicity Trend'!$L$7:$L$20)</f>
        <v>1130</v>
      </c>
    </row>
    <row r="24" spans="2:12" ht="15" x14ac:dyDescent="0.2">
      <c r="B24" s="127" t="s">
        <v>68</v>
      </c>
      <c r="C24" s="127"/>
      <c r="D24" s="127"/>
      <c r="E24" s="127"/>
      <c r="F24" s="127"/>
      <c r="G24" s="127"/>
      <c r="H24" s="127"/>
      <c r="I24" s="127"/>
      <c r="J24" s="127"/>
      <c r="K24" s="127"/>
      <c r="L24" s="127"/>
    </row>
    <row r="25" spans="2:12" ht="30.95" customHeight="1" x14ac:dyDescent="0.2">
      <c r="B25" s="52" t="s">
        <v>1</v>
      </c>
      <c r="C25" s="52" t="str">
        <f>CONCATENATE(IF(RIGHT(Parameters!B1,1) = "1","Fall ", "Spring "),IF(RIGHT(Parameters!B1,1) = "1",LEFT(Parameters!B1,4) -9, LEFT(Parameters!B1,4) - 8))</f>
        <v>Fall 2010</v>
      </c>
      <c r="D25" s="52" t="str">
        <f>CONCATENATE(IF(RIGHT(Parameters!B1,1) = "1","Fall ", "Spring "),IF(RIGHT(Parameters!B1,1) = "1",LEFT(Parameters!B1,4) -8, LEFT(Parameters!B1,4) - 7))</f>
        <v>Fall 2011</v>
      </c>
      <c r="E25" s="52" t="str">
        <f>CONCATENATE(IF(RIGHT(Parameters!B1,1) = "1","Fall ", "Spring "),IF(RIGHT(Parameters!B1,1) = "1",LEFT(Parameters!B1,4) -7, LEFT(Parameters!B1,4) - 6))</f>
        <v>Fall 2012</v>
      </c>
      <c r="F25" s="52" t="str">
        <f>CONCATENATE(IF(RIGHT(Parameters!B1,1) = "1","Fall ", "Spring "),IF(RIGHT(Parameters!B1,1) = "1",LEFT(Parameters!B1,4) -6, LEFT(Parameters!B1,4) - 5))</f>
        <v>Fall 2013</v>
      </c>
      <c r="G25" s="52" t="str">
        <f>CONCATENATE(IF(RIGHT(Parameters!B1,1) = "1","Fall ", "Spring "),IF(RIGHT(Parameters!B1,1) = "1",LEFT(Parameters!B1,4) -5, LEFT(Parameters!B1,4) - 4))</f>
        <v>Fall 2014</v>
      </c>
      <c r="H25" s="52" t="str">
        <f>CONCATENATE(IF(RIGHT(Parameters!B1,1) = "1","Fall ", "Spring "),IF(RIGHT(Parameters!B1,1) = "1",LEFT(Parameters!B1,4) -4, LEFT(Parameters!B1,4) - 3))</f>
        <v>Fall 2015</v>
      </c>
      <c r="I25" s="52" t="str">
        <f>CONCATENATE(IF(RIGHT(Parameters!B1,1) = "1","Fall ", "Spring "),IF(RIGHT(Parameters!B1,1) = "1",LEFT(Parameters!B1,4) -3, LEFT(Parameters!B1,4) - 2))</f>
        <v>Fall 2016</v>
      </c>
      <c r="J25" s="52" t="str">
        <f>CONCATENATE(IF(RIGHT(Parameters!B1,1) = "1","Fall ", "Spring "),IF(RIGHT(Parameters!B1,1) = "1",LEFT(Parameters!B1,4) -2, LEFT(Parameters!B1,4) - 1))</f>
        <v>Fall 2017</v>
      </c>
      <c r="K25" s="52" t="str">
        <f>CONCATENATE(IF(RIGHT(Parameters!B1,1) = "1","Fall ", "Spring "),IF(RIGHT(Parameters!B1,1) = "1",LEFT(Parameters!B1,4) -1, LEFT(Parameters!B1,4) ))</f>
        <v>Fall 2018</v>
      </c>
      <c r="L25" s="52" t="str">
        <f>CONCATENATE(IF(RIGHT(Parameters!B1,1) = "1","Fall ", "Spring "),IF(RIGHT(Parameters!B1,1) = "1",LEFT(Parameters!B1,4), LEFT(Parameters!B1,4) + 1))</f>
        <v>Fall 2019</v>
      </c>
    </row>
    <row r="26" spans="2:12" ht="16.5" hidden="1" customHeight="1" x14ac:dyDescent="0.2">
      <c r="B26" s="63" t="s">
        <v>2</v>
      </c>
      <c r="C26" s="63" t="s">
        <v>3</v>
      </c>
      <c r="D26" s="63" t="s">
        <v>4</v>
      </c>
      <c r="E26" s="63" t="s">
        <v>5</v>
      </c>
      <c r="F26" s="63" t="s">
        <v>6</v>
      </c>
      <c r="G26" s="63" t="s">
        <v>7</v>
      </c>
      <c r="H26" s="63" t="s">
        <v>8</v>
      </c>
      <c r="I26" s="63" t="s">
        <v>9</v>
      </c>
      <c r="J26" s="63" t="s">
        <v>10</v>
      </c>
      <c r="K26" s="63" t="s">
        <v>11</v>
      </c>
      <c r="L26" s="63" t="s">
        <v>12</v>
      </c>
    </row>
    <row r="27" spans="2:12" x14ac:dyDescent="0.2">
      <c r="B27" s="56" t="s">
        <v>13</v>
      </c>
      <c r="C27" s="57">
        <v>16</v>
      </c>
      <c r="D27" s="57">
        <v>14</v>
      </c>
      <c r="E27" s="57">
        <v>12</v>
      </c>
      <c r="F27" s="57">
        <v>18</v>
      </c>
      <c r="G27" s="57">
        <v>18</v>
      </c>
      <c r="H27" s="57">
        <v>11</v>
      </c>
      <c r="I27" s="57">
        <v>15</v>
      </c>
      <c r="J27" s="57">
        <v>22</v>
      </c>
      <c r="K27" s="57">
        <v>24</v>
      </c>
      <c r="L27" s="57">
        <v>24</v>
      </c>
    </row>
    <row r="28" spans="2:12" x14ac:dyDescent="0.2">
      <c r="B28" s="58" t="s">
        <v>14</v>
      </c>
      <c r="C28" s="59">
        <v>35</v>
      </c>
      <c r="D28" s="59">
        <v>42</v>
      </c>
      <c r="E28" s="59">
        <v>49</v>
      </c>
      <c r="F28" s="59">
        <v>56</v>
      </c>
      <c r="G28" s="59">
        <v>76</v>
      </c>
      <c r="H28" s="59">
        <v>73</v>
      </c>
      <c r="I28" s="59">
        <v>72</v>
      </c>
      <c r="J28" s="59">
        <v>63</v>
      </c>
      <c r="K28" s="59">
        <v>65</v>
      </c>
      <c r="L28" s="59">
        <v>78</v>
      </c>
    </row>
    <row r="29" spans="2:12" x14ac:dyDescent="0.2">
      <c r="B29" s="58" t="s">
        <v>15</v>
      </c>
      <c r="C29" s="59">
        <v>0</v>
      </c>
      <c r="D29" s="59">
        <v>0</v>
      </c>
      <c r="E29" s="59">
        <v>3</v>
      </c>
      <c r="F29" s="59">
        <v>3</v>
      </c>
      <c r="G29" s="59">
        <v>1</v>
      </c>
      <c r="H29" s="59">
        <v>1</v>
      </c>
      <c r="I29" s="59">
        <v>1</v>
      </c>
      <c r="J29" s="59">
        <v>1</v>
      </c>
      <c r="K29" s="59">
        <v>0</v>
      </c>
      <c r="L29" s="59">
        <v>0</v>
      </c>
    </row>
    <row r="30" spans="2:12" x14ac:dyDescent="0.2">
      <c r="B30" s="58" t="s">
        <v>16</v>
      </c>
      <c r="C30" s="59">
        <v>12</v>
      </c>
      <c r="D30" s="59">
        <v>22</v>
      </c>
      <c r="E30" s="59">
        <v>18</v>
      </c>
      <c r="F30" s="59">
        <v>19</v>
      </c>
      <c r="G30" s="59">
        <v>19</v>
      </c>
      <c r="H30" s="59">
        <v>12</v>
      </c>
      <c r="I30" s="59">
        <v>14</v>
      </c>
      <c r="J30" s="59">
        <v>25</v>
      </c>
      <c r="K30" s="59">
        <v>31</v>
      </c>
      <c r="L30" s="59">
        <v>41</v>
      </c>
    </row>
    <row r="31" spans="2:12" x14ac:dyDescent="0.2">
      <c r="B31" s="58" t="s">
        <v>17</v>
      </c>
      <c r="C31" s="59">
        <v>44</v>
      </c>
      <c r="D31" s="59">
        <v>37</v>
      </c>
      <c r="E31" s="59">
        <v>34</v>
      </c>
      <c r="F31" s="59">
        <v>44</v>
      </c>
      <c r="G31" s="59">
        <v>45</v>
      </c>
      <c r="H31" s="59">
        <v>34</v>
      </c>
      <c r="I31" s="59">
        <v>34</v>
      </c>
      <c r="J31" s="59">
        <v>37</v>
      </c>
      <c r="K31" s="59">
        <v>39</v>
      </c>
      <c r="L31" s="59">
        <v>60</v>
      </c>
    </row>
    <row r="32" spans="2:12" x14ac:dyDescent="0.2">
      <c r="B32" s="58" t="s">
        <v>18</v>
      </c>
      <c r="C32" s="59">
        <v>13</v>
      </c>
      <c r="D32" s="59">
        <v>10</v>
      </c>
      <c r="E32" s="59">
        <v>12</v>
      </c>
      <c r="F32" s="59">
        <v>11</v>
      </c>
      <c r="G32" s="59">
        <v>9</v>
      </c>
      <c r="H32" s="59">
        <v>9</v>
      </c>
      <c r="I32" s="59">
        <v>14</v>
      </c>
      <c r="J32" s="59">
        <v>25</v>
      </c>
      <c r="K32" s="59">
        <v>31</v>
      </c>
      <c r="L32" s="59">
        <v>38</v>
      </c>
    </row>
    <row r="33" spans="2:12" x14ac:dyDescent="0.2">
      <c r="B33" s="58" t="s">
        <v>19</v>
      </c>
      <c r="C33" s="59">
        <v>23</v>
      </c>
      <c r="D33" s="59">
        <v>22</v>
      </c>
      <c r="E33" s="59">
        <v>32</v>
      </c>
      <c r="F33" s="59">
        <v>37</v>
      </c>
      <c r="G33" s="59">
        <v>37</v>
      </c>
      <c r="H33" s="59">
        <v>46</v>
      </c>
      <c r="I33" s="59">
        <v>44</v>
      </c>
      <c r="J33" s="59">
        <v>50</v>
      </c>
      <c r="K33" s="59">
        <v>54</v>
      </c>
      <c r="L33" s="59">
        <v>52</v>
      </c>
    </row>
    <row r="34" spans="2:12" x14ac:dyDescent="0.2">
      <c r="B34" s="58" t="s">
        <v>20</v>
      </c>
      <c r="C34" s="59">
        <v>31</v>
      </c>
      <c r="D34" s="59">
        <v>29</v>
      </c>
      <c r="E34" s="59">
        <v>32</v>
      </c>
      <c r="F34" s="59">
        <v>36</v>
      </c>
      <c r="G34" s="59">
        <v>40</v>
      </c>
      <c r="H34" s="59">
        <v>41</v>
      </c>
      <c r="I34" s="59">
        <v>36</v>
      </c>
      <c r="J34" s="59">
        <v>48</v>
      </c>
      <c r="K34" s="59">
        <v>58</v>
      </c>
      <c r="L34" s="59">
        <v>67</v>
      </c>
    </row>
    <row r="35" spans="2:12" x14ac:dyDescent="0.2">
      <c r="B35" s="58" t="s">
        <v>21</v>
      </c>
      <c r="C35" s="59">
        <v>9</v>
      </c>
      <c r="D35" s="59">
        <v>6</v>
      </c>
      <c r="E35" s="59">
        <v>2</v>
      </c>
      <c r="F35" s="59">
        <v>2</v>
      </c>
      <c r="G35" s="59">
        <v>9</v>
      </c>
      <c r="H35" s="59">
        <v>7</v>
      </c>
      <c r="I35" s="59">
        <v>6</v>
      </c>
      <c r="J35" s="59">
        <v>5</v>
      </c>
      <c r="K35" s="59">
        <v>5</v>
      </c>
      <c r="L35" s="59">
        <v>13</v>
      </c>
    </row>
    <row r="36" spans="2:12" x14ac:dyDescent="0.2">
      <c r="B36" s="58" t="s">
        <v>22</v>
      </c>
      <c r="C36" s="59">
        <v>8</v>
      </c>
      <c r="D36" s="59">
        <v>6</v>
      </c>
      <c r="E36" s="59">
        <v>5</v>
      </c>
      <c r="F36" s="59">
        <v>4</v>
      </c>
      <c r="G36" s="59">
        <v>4</v>
      </c>
      <c r="H36" s="59">
        <v>3</v>
      </c>
      <c r="I36" s="59">
        <v>2</v>
      </c>
      <c r="J36" s="59">
        <v>2</v>
      </c>
      <c r="K36" s="59">
        <v>2</v>
      </c>
      <c r="L36" s="59">
        <v>0</v>
      </c>
    </row>
    <row r="37" spans="2:12" x14ac:dyDescent="0.2">
      <c r="B37" s="58" t="s">
        <v>23</v>
      </c>
      <c r="C37" s="59">
        <v>24</v>
      </c>
      <c r="D37" s="59">
        <v>30</v>
      </c>
      <c r="E37" s="59">
        <v>35</v>
      </c>
      <c r="F37" s="59">
        <v>41</v>
      </c>
      <c r="G37" s="59">
        <v>41</v>
      </c>
      <c r="H37" s="59">
        <v>44</v>
      </c>
      <c r="I37" s="59">
        <v>49</v>
      </c>
      <c r="J37" s="59">
        <v>48</v>
      </c>
      <c r="K37" s="59">
        <v>59</v>
      </c>
      <c r="L37" s="59">
        <v>64</v>
      </c>
    </row>
    <row r="38" spans="2:12" x14ac:dyDescent="0.2">
      <c r="B38" s="58" t="s">
        <v>24</v>
      </c>
      <c r="C38" s="59">
        <v>16</v>
      </c>
      <c r="D38" s="59">
        <v>17</v>
      </c>
      <c r="E38" s="59">
        <v>28</v>
      </c>
      <c r="F38" s="59">
        <v>18</v>
      </c>
      <c r="G38" s="59">
        <v>21</v>
      </c>
      <c r="H38" s="59">
        <v>23</v>
      </c>
      <c r="I38" s="59">
        <v>26</v>
      </c>
      <c r="J38" s="59">
        <v>35</v>
      </c>
      <c r="K38" s="59">
        <v>37</v>
      </c>
      <c r="L38" s="59">
        <v>35</v>
      </c>
    </row>
    <row r="39" spans="2:12" x14ac:dyDescent="0.2">
      <c r="B39" s="58" t="s">
        <v>25</v>
      </c>
      <c r="C39" s="59">
        <v>8</v>
      </c>
      <c r="D39" s="59">
        <v>5</v>
      </c>
      <c r="E39" s="59">
        <v>8</v>
      </c>
      <c r="F39" s="59">
        <v>8</v>
      </c>
      <c r="G39" s="59">
        <v>12</v>
      </c>
      <c r="H39" s="59">
        <v>15</v>
      </c>
      <c r="I39" s="59">
        <v>14</v>
      </c>
      <c r="J39" s="59">
        <v>19</v>
      </c>
      <c r="K39" s="59">
        <v>22</v>
      </c>
      <c r="L39" s="59">
        <v>29</v>
      </c>
    </row>
    <row r="40" spans="2:12" x14ac:dyDescent="0.2">
      <c r="B40" s="61" t="s">
        <v>26</v>
      </c>
      <c r="C40" s="62">
        <v>51</v>
      </c>
      <c r="D40" s="62">
        <v>53</v>
      </c>
      <c r="E40" s="62">
        <v>57</v>
      </c>
      <c r="F40" s="62">
        <v>64</v>
      </c>
      <c r="G40" s="62">
        <v>67</v>
      </c>
      <c r="H40" s="62">
        <v>76</v>
      </c>
      <c r="I40" s="62">
        <v>85</v>
      </c>
      <c r="J40" s="62">
        <v>103</v>
      </c>
      <c r="K40" s="62">
        <v>105</v>
      </c>
      <c r="L40" s="62">
        <v>144</v>
      </c>
    </row>
    <row r="41" spans="2:12" x14ac:dyDescent="0.2">
      <c r="B41" s="20" t="s">
        <v>27</v>
      </c>
      <c r="C41" s="21">
        <f>SUBTOTAL(109,'Graduate Ethnicity Trend'!$C$27:$C$40)</f>
        <v>290</v>
      </c>
      <c r="D41" s="21">
        <f>SUBTOTAL(109,'Graduate Ethnicity Trend'!$D$27:$D$40)</f>
        <v>293</v>
      </c>
      <c r="E41" s="21">
        <f>SUBTOTAL(109,'Graduate Ethnicity Trend'!$E$27:$E$40)</f>
        <v>327</v>
      </c>
      <c r="F41" s="21">
        <f>SUBTOTAL(109,'Graduate Ethnicity Trend'!$F$27:$F$40)</f>
        <v>361</v>
      </c>
      <c r="G41" s="21">
        <f>SUBTOTAL(109,'Graduate Ethnicity Trend'!$G$27:$G$40)</f>
        <v>399</v>
      </c>
      <c r="H41" s="21">
        <f>SUBTOTAL(109,'Graduate Ethnicity Trend'!$H$27:$H$40)</f>
        <v>395</v>
      </c>
      <c r="I41" s="21">
        <f>SUBTOTAL(109,'Graduate Ethnicity Trend'!$I$27:$I$40)</f>
        <v>412</v>
      </c>
      <c r="J41" s="21">
        <f>SUBTOTAL(109,'Graduate Ethnicity Trend'!$J$27:$J$40)</f>
        <v>483</v>
      </c>
      <c r="K41" s="21">
        <f>SUBTOTAL(109,'Graduate Ethnicity Trend'!$K$27:$K$40)</f>
        <v>532</v>
      </c>
      <c r="L41" s="21">
        <f>SUBTOTAL(109,'Graduate Ethnicity Trend'!$L$27:$L$40)</f>
        <v>645</v>
      </c>
    </row>
    <row r="44" spans="2:12" ht="15" x14ac:dyDescent="0.2">
      <c r="B44" s="127" t="s">
        <v>69</v>
      </c>
      <c r="C44" s="127"/>
      <c r="D44" s="127"/>
      <c r="E44" s="127"/>
      <c r="F44" s="127"/>
      <c r="G44" s="127"/>
      <c r="H44" s="127"/>
      <c r="I44" s="127"/>
      <c r="J44" s="127"/>
      <c r="K44" s="127"/>
      <c r="L44" s="127"/>
    </row>
    <row r="45" spans="2:12" ht="30.95" customHeight="1" x14ac:dyDescent="0.2">
      <c r="B45" s="52" t="s">
        <v>1</v>
      </c>
      <c r="C45" s="52" t="str">
        <f>CONCATENATE(IF(RIGHT(Parameters!B1,1) = "1","Fall ", "Spring "),IF(RIGHT(Parameters!B1,1) = "1",LEFT(Parameters!B1,4) -9, LEFT(Parameters!B1,4) - 8))</f>
        <v>Fall 2010</v>
      </c>
      <c r="D45" s="52" t="str">
        <f>CONCATENATE(IF(RIGHT(Parameters!B1,1) = "1","Fall ", "Spring "),IF(RIGHT(Parameters!B1,1) = "1",LEFT(Parameters!B1,4) -8, LEFT(Parameters!B1,4) - 7))</f>
        <v>Fall 2011</v>
      </c>
      <c r="E45" s="52" t="str">
        <f>CONCATENATE(IF(RIGHT(Parameters!B1,1) = "1","Fall ", "Spring "),IF(RIGHT(Parameters!B1,1) = "1",LEFT(Parameters!B1,4) -7, LEFT(Parameters!B1,4) - 6))</f>
        <v>Fall 2012</v>
      </c>
      <c r="F45" s="52" t="str">
        <f>CONCATENATE(IF(RIGHT(Parameters!B1,1) = "1","Fall ", "Spring "),IF(RIGHT(Parameters!B1,1) = "1",LEFT(Parameters!B1,4) -6, LEFT(Parameters!B1,4) - 5))</f>
        <v>Fall 2013</v>
      </c>
      <c r="G45" s="52" t="str">
        <f>CONCATENATE(IF(RIGHT(Parameters!B1,1) = "1","Fall ", "Spring "),IF(RIGHT(Parameters!B1,1) = "1",LEFT(Parameters!B1,4) -5, LEFT(Parameters!B1,4) - 4))</f>
        <v>Fall 2014</v>
      </c>
      <c r="H45" s="52" t="str">
        <f>CONCATENATE(IF(RIGHT(Parameters!B1,1) = "1","Fall ", "Spring "),IF(RIGHT(Parameters!B1,1) = "1",LEFT(Parameters!B1,4) -4, LEFT(Parameters!B1,4) - 3))</f>
        <v>Fall 2015</v>
      </c>
      <c r="I45" s="52" t="str">
        <f>CONCATENATE(IF(RIGHT(Parameters!B1,1) = "1","Fall ", "Spring "),IF(RIGHT(Parameters!B1,1) = "1",LEFT(Parameters!B1,4) -3, LEFT(Parameters!B1,4) - 2))</f>
        <v>Fall 2016</v>
      </c>
      <c r="J45" s="52" t="str">
        <f>CONCATENATE(IF(RIGHT(Parameters!B1,1) = "1","Fall ", "Spring "),IF(RIGHT(Parameters!B1,1) = "1",LEFT(Parameters!B1,4) -2, LEFT(Parameters!B1,4) - 1))</f>
        <v>Fall 2017</v>
      </c>
      <c r="K45" s="52" t="str">
        <f>CONCATENATE(IF(RIGHT(Parameters!B1,1) = "1","Fall ", "Spring "),IF(RIGHT(Parameters!B1,1) = "1",LEFT(Parameters!B1,4) -1, LEFT(Parameters!B1,4) ))</f>
        <v>Fall 2018</v>
      </c>
      <c r="L45" s="52" t="str">
        <f>CONCATENATE(IF(RIGHT(Parameters!B1,1) = "1","Fall ", "Spring "),IF(RIGHT(Parameters!B1,1) = "1",LEFT(Parameters!B1,4), LEFT(Parameters!B1,4) + 1))</f>
        <v>Fall 2019</v>
      </c>
    </row>
    <row r="46" spans="2:12" ht="16.5" hidden="1" customHeight="1" x14ac:dyDescent="0.2">
      <c r="B46" s="26" t="s">
        <v>2</v>
      </c>
      <c r="C46" s="26" t="s">
        <v>3</v>
      </c>
      <c r="D46" s="26" t="s">
        <v>4</v>
      </c>
      <c r="E46" s="26" t="s">
        <v>5</v>
      </c>
      <c r="F46" s="26" t="s">
        <v>6</v>
      </c>
      <c r="G46" s="26" t="s">
        <v>7</v>
      </c>
      <c r="H46" s="26" t="s">
        <v>8</v>
      </c>
      <c r="I46" s="26" t="s">
        <v>9</v>
      </c>
      <c r="J46" s="26" t="s">
        <v>10</v>
      </c>
      <c r="K46" s="26" t="s">
        <v>11</v>
      </c>
      <c r="L46" s="26" t="s">
        <v>12</v>
      </c>
    </row>
    <row r="47" spans="2:12" x14ac:dyDescent="0.2">
      <c r="B47" s="56" t="s">
        <v>13</v>
      </c>
      <c r="C47" s="57">
        <v>14</v>
      </c>
      <c r="D47" s="57">
        <v>14</v>
      </c>
      <c r="E47" s="57">
        <v>12</v>
      </c>
      <c r="F47" s="57">
        <v>9</v>
      </c>
      <c r="G47" s="57">
        <v>12</v>
      </c>
      <c r="H47" s="57">
        <v>13</v>
      </c>
      <c r="I47" s="57">
        <v>17</v>
      </c>
      <c r="J47" s="57">
        <v>16</v>
      </c>
      <c r="K47" s="57">
        <v>12</v>
      </c>
      <c r="L47" s="57">
        <v>11</v>
      </c>
    </row>
    <row r="48" spans="2:12" x14ac:dyDescent="0.2">
      <c r="B48" s="58" t="s">
        <v>14</v>
      </c>
      <c r="C48" s="59">
        <v>16</v>
      </c>
      <c r="D48" s="59">
        <v>12</v>
      </c>
      <c r="E48" s="59">
        <v>16</v>
      </c>
      <c r="F48" s="59">
        <v>12</v>
      </c>
      <c r="G48" s="59">
        <v>24</v>
      </c>
      <c r="H48" s="59">
        <v>18</v>
      </c>
      <c r="I48" s="59">
        <v>17</v>
      </c>
      <c r="J48" s="59">
        <v>16</v>
      </c>
      <c r="K48" s="59">
        <v>25</v>
      </c>
      <c r="L48" s="59">
        <v>26</v>
      </c>
    </row>
    <row r="49" spans="2:12" x14ac:dyDescent="0.2">
      <c r="B49" s="58" t="s">
        <v>15</v>
      </c>
      <c r="C49" s="59">
        <v>1</v>
      </c>
      <c r="D49" s="59">
        <v>0</v>
      </c>
      <c r="E49" s="59">
        <v>0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</row>
    <row r="50" spans="2:12" x14ac:dyDescent="0.2">
      <c r="B50" s="58" t="s">
        <v>16</v>
      </c>
      <c r="C50" s="59">
        <v>6</v>
      </c>
      <c r="D50" s="59">
        <v>12</v>
      </c>
      <c r="E50" s="59">
        <v>12</v>
      </c>
      <c r="F50" s="59">
        <v>9</v>
      </c>
      <c r="G50" s="59">
        <v>9</v>
      </c>
      <c r="H50" s="59">
        <v>10</v>
      </c>
      <c r="I50" s="59">
        <v>11</v>
      </c>
      <c r="J50" s="59">
        <v>12</v>
      </c>
      <c r="K50" s="59">
        <v>14</v>
      </c>
      <c r="L50" s="59">
        <v>8</v>
      </c>
    </row>
    <row r="51" spans="2:12" x14ac:dyDescent="0.2">
      <c r="B51" s="58" t="s">
        <v>17</v>
      </c>
      <c r="C51" s="59">
        <v>12</v>
      </c>
      <c r="D51" s="59">
        <v>6</v>
      </c>
      <c r="E51" s="59">
        <v>6</v>
      </c>
      <c r="F51" s="59">
        <v>4</v>
      </c>
      <c r="G51" s="59">
        <v>6</v>
      </c>
      <c r="H51" s="59">
        <v>3</v>
      </c>
      <c r="I51" s="59">
        <v>1</v>
      </c>
      <c r="J51" s="59">
        <v>6</v>
      </c>
      <c r="K51" s="59">
        <v>12</v>
      </c>
      <c r="L51" s="59">
        <v>10</v>
      </c>
    </row>
    <row r="52" spans="2:12" x14ac:dyDescent="0.2">
      <c r="B52" s="58" t="s">
        <v>18</v>
      </c>
      <c r="C52" s="59">
        <v>6</v>
      </c>
      <c r="D52" s="59">
        <v>4</v>
      </c>
      <c r="E52" s="59">
        <v>8</v>
      </c>
      <c r="F52" s="59">
        <v>8</v>
      </c>
      <c r="G52" s="59">
        <v>5</v>
      </c>
      <c r="H52" s="59">
        <v>4</v>
      </c>
      <c r="I52" s="59">
        <v>11</v>
      </c>
      <c r="J52" s="59">
        <v>11</v>
      </c>
      <c r="K52" s="59">
        <v>12</v>
      </c>
      <c r="L52" s="59">
        <v>14</v>
      </c>
    </row>
    <row r="53" spans="2:12" x14ac:dyDescent="0.2">
      <c r="B53" s="58" t="s">
        <v>19</v>
      </c>
      <c r="C53" s="59">
        <v>32</v>
      </c>
      <c r="D53" s="59">
        <v>33</v>
      </c>
      <c r="E53" s="59">
        <v>33</v>
      </c>
      <c r="F53" s="59">
        <v>27</v>
      </c>
      <c r="G53" s="59">
        <v>28</v>
      </c>
      <c r="H53" s="59">
        <v>32</v>
      </c>
      <c r="I53" s="59">
        <v>33</v>
      </c>
      <c r="J53" s="59">
        <v>32</v>
      </c>
      <c r="K53" s="59">
        <v>36</v>
      </c>
      <c r="L53" s="59">
        <v>32</v>
      </c>
    </row>
    <row r="54" spans="2:12" x14ac:dyDescent="0.2">
      <c r="B54" s="58" t="s">
        <v>20</v>
      </c>
      <c r="C54" s="59">
        <v>7</v>
      </c>
      <c r="D54" s="59">
        <v>8</v>
      </c>
      <c r="E54" s="59">
        <v>6</v>
      </c>
      <c r="F54" s="59">
        <v>5</v>
      </c>
      <c r="G54" s="59">
        <v>8</v>
      </c>
      <c r="H54" s="59">
        <v>8</v>
      </c>
      <c r="I54" s="59">
        <v>9</v>
      </c>
      <c r="J54" s="59">
        <v>7</v>
      </c>
      <c r="K54" s="59">
        <v>9</v>
      </c>
      <c r="L54" s="59">
        <v>10</v>
      </c>
    </row>
    <row r="55" spans="2:12" x14ac:dyDescent="0.2">
      <c r="B55" s="58" t="s">
        <v>21</v>
      </c>
      <c r="C55" s="59">
        <v>5</v>
      </c>
      <c r="D55" s="59">
        <v>6</v>
      </c>
      <c r="E55" s="59">
        <v>6</v>
      </c>
      <c r="F55" s="59">
        <v>10</v>
      </c>
      <c r="G55" s="59">
        <v>8</v>
      </c>
      <c r="H55" s="59">
        <v>6</v>
      </c>
      <c r="I55" s="59">
        <v>4</v>
      </c>
      <c r="J55" s="59">
        <v>5</v>
      </c>
      <c r="K55" s="59">
        <v>8</v>
      </c>
      <c r="L55" s="59">
        <v>11</v>
      </c>
    </row>
    <row r="56" spans="2:12" x14ac:dyDescent="0.2">
      <c r="B56" s="58" t="s">
        <v>22</v>
      </c>
      <c r="C56" s="59">
        <v>1</v>
      </c>
      <c r="D56" s="59">
        <v>4</v>
      </c>
      <c r="E56" s="59">
        <v>4</v>
      </c>
      <c r="F56" s="59">
        <v>3</v>
      </c>
      <c r="G56" s="59">
        <v>1</v>
      </c>
      <c r="H56" s="59">
        <v>1</v>
      </c>
      <c r="I56" s="59">
        <v>2</v>
      </c>
      <c r="J56" s="59">
        <v>1</v>
      </c>
      <c r="K56" s="59">
        <v>0</v>
      </c>
      <c r="L56" s="59">
        <v>0</v>
      </c>
    </row>
    <row r="57" spans="2:12" x14ac:dyDescent="0.2">
      <c r="B57" s="58" t="s">
        <v>23</v>
      </c>
      <c r="C57" s="59">
        <v>17</v>
      </c>
      <c r="D57" s="59">
        <v>15</v>
      </c>
      <c r="E57" s="59">
        <v>16</v>
      </c>
      <c r="F57" s="59">
        <v>13</v>
      </c>
      <c r="G57" s="59">
        <v>13</v>
      </c>
      <c r="H57" s="59">
        <v>19</v>
      </c>
      <c r="I57" s="59">
        <v>19</v>
      </c>
      <c r="J57" s="59">
        <v>14</v>
      </c>
      <c r="K57" s="59">
        <v>13</v>
      </c>
      <c r="L57" s="59">
        <v>25</v>
      </c>
    </row>
    <row r="58" spans="2:12" x14ac:dyDescent="0.2">
      <c r="B58" s="58" t="s">
        <v>24</v>
      </c>
      <c r="C58" s="59">
        <v>18</v>
      </c>
      <c r="D58" s="59">
        <v>15</v>
      </c>
      <c r="E58" s="59">
        <v>19</v>
      </c>
      <c r="F58" s="59">
        <v>14</v>
      </c>
      <c r="G58" s="59">
        <v>15</v>
      </c>
      <c r="H58" s="59">
        <v>13</v>
      </c>
      <c r="I58" s="59">
        <v>12</v>
      </c>
      <c r="J58" s="59">
        <v>15</v>
      </c>
      <c r="K58" s="59">
        <v>12</v>
      </c>
      <c r="L58" s="59">
        <v>15</v>
      </c>
    </row>
    <row r="59" spans="2:12" x14ac:dyDescent="0.2">
      <c r="B59" s="58" t="s">
        <v>25</v>
      </c>
      <c r="C59" s="59">
        <v>5</v>
      </c>
      <c r="D59" s="59">
        <v>4</v>
      </c>
      <c r="E59" s="59">
        <v>1</v>
      </c>
      <c r="F59" s="59">
        <v>3</v>
      </c>
      <c r="G59" s="59">
        <v>3</v>
      </c>
      <c r="H59" s="59">
        <v>6</v>
      </c>
      <c r="I59" s="59">
        <v>8</v>
      </c>
      <c r="J59" s="59">
        <v>12</v>
      </c>
      <c r="K59" s="59">
        <v>15</v>
      </c>
      <c r="L59" s="59">
        <v>19</v>
      </c>
    </row>
    <row r="60" spans="2:12" x14ac:dyDescent="0.2">
      <c r="B60" s="61" t="s">
        <v>26</v>
      </c>
      <c r="C60" s="62">
        <v>57</v>
      </c>
      <c r="D60" s="62">
        <v>58</v>
      </c>
      <c r="E60" s="62">
        <v>57</v>
      </c>
      <c r="F60" s="62">
        <v>57</v>
      </c>
      <c r="G60" s="62">
        <v>62</v>
      </c>
      <c r="H60" s="62">
        <v>62</v>
      </c>
      <c r="I60" s="62">
        <v>59</v>
      </c>
      <c r="J60" s="62">
        <v>82</v>
      </c>
      <c r="K60" s="62">
        <v>85</v>
      </c>
      <c r="L60" s="62">
        <v>92</v>
      </c>
    </row>
    <row r="61" spans="2:12" x14ac:dyDescent="0.2">
      <c r="B61" s="20" t="s">
        <v>27</v>
      </c>
      <c r="C61" s="21">
        <f>SUBTOTAL(109,'Graduate Ethnicity Trend'!$C$47:$C$60)</f>
        <v>197</v>
      </c>
      <c r="D61" s="21">
        <f>SUBTOTAL(109,'Graduate Ethnicity Trend'!$D$47:$D$60)</f>
        <v>191</v>
      </c>
      <c r="E61" s="21">
        <f>SUBTOTAL(109,'Graduate Ethnicity Trend'!$E$47:$E$60)</f>
        <v>196</v>
      </c>
      <c r="F61" s="21">
        <f>SUBTOTAL(109,'Graduate Ethnicity Trend'!$F$47:$F$60)</f>
        <v>174</v>
      </c>
      <c r="G61" s="21">
        <f>SUBTOTAL(109,'Graduate Ethnicity Trend'!$G$47:$G$60)</f>
        <v>194</v>
      </c>
      <c r="H61" s="21">
        <f>SUBTOTAL(109,'Graduate Ethnicity Trend'!$H$47:$H$60)</f>
        <v>195</v>
      </c>
      <c r="I61" s="21">
        <f>SUBTOTAL(109,'Graduate Ethnicity Trend'!$I$47:$I$60)</f>
        <v>203</v>
      </c>
      <c r="J61" s="21">
        <f>SUBTOTAL(109,'Graduate Ethnicity Trend'!$J$47:$J$60)</f>
        <v>229</v>
      </c>
      <c r="K61" s="21">
        <f>SUBTOTAL(109,'Graduate Ethnicity Trend'!$K$47:$K$60)</f>
        <v>253</v>
      </c>
      <c r="L61" s="21">
        <f>SUBTOTAL(109,'Graduate Ethnicity Trend'!$L$47:$L$60)</f>
        <v>273</v>
      </c>
    </row>
    <row r="64" spans="2:12" ht="15" x14ac:dyDescent="0.2">
      <c r="B64" s="127" t="s">
        <v>70</v>
      </c>
      <c r="C64" s="127"/>
      <c r="D64" s="127"/>
      <c r="E64" s="127"/>
      <c r="F64" s="127"/>
      <c r="G64" s="127"/>
      <c r="H64" s="127"/>
      <c r="I64" s="127"/>
      <c r="J64" s="127"/>
      <c r="K64" s="127"/>
      <c r="L64" s="127"/>
    </row>
    <row r="65" spans="2:12" ht="30.95" customHeight="1" x14ac:dyDescent="0.2">
      <c r="B65" s="52" t="s">
        <v>1</v>
      </c>
      <c r="C65" s="52" t="str">
        <f>CONCATENATE(IF(RIGHT(Parameters!B1,1) = "1","Fall ", "Spring "),IF(RIGHT(Parameters!B1,1) = "1",LEFT(Parameters!B1,4) -9, LEFT(Parameters!B1,4) - 8))</f>
        <v>Fall 2010</v>
      </c>
      <c r="D65" s="52" t="str">
        <f>CONCATENATE(IF(RIGHT(Parameters!B1,1) = "1","Fall ", "Spring "),IF(RIGHT(Parameters!B1,1) = "1",LEFT(Parameters!B1,4) -8, LEFT(Parameters!B1,4) - 7))</f>
        <v>Fall 2011</v>
      </c>
      <c r="E65" s="52" t="str">
        <f>CONCATENATE(IF(RIGHT(Parameters!B1,1) = "1","Fall ", "Spring "),IF(RIGHT(Parameters!B1,1) = "1",LEFT(Parameters!B1,4) -7, LEFT(Parameters!B1,4) - 6))</f>
        <v>Fall 2012</v>
      </c>
      <c r="F65" s="52" t="str">
        <f>CONCATENATE(IF(RIGHT(Parameters!B1,1) = "1","Fall ", "Spring "),IF(RIGHT(Parameters!B1,1) = "1",LEFT(Parameters!B1,4) -6, LEFT(Parameters!B1,4) - 5))</f>
        <v>Fall 2013</v>
      </c>
      <c r="G65" s="52" t="str">
        <f>CONCATENATE(IF(RIGHT(Parameters!B1,1) = "1","Fall ", "Spring "),IF(RIGHT(Parameters!B1,1) = "1",LEFT(Parameters!B1,4) -5, LEFT(Parameters!B1,4) - 4))</f>
        <v>Fall 2014</v>
      </c>
      <c r="H65" s="52" t="str">
        <f>CONCATENATE(IF(RIGHT(Parameters!B1,1) = "1","Fall ", "Spring "),IF(RIGHT(Parameters!B1,1) = "1",LEFT(Parameters!B1,4) -4, LEFT(Parameters!B1,4) - 3))</f>
        <v>Fall 2015</v>
      </c>
      <c r="I65" s="52" t="str">
        <f>CONCATENATE(IF(RIGHT(Parameters!B1,1) = "1","Fall ", "Spring "),IF(RIGHT(Parameters!B1,1) = "1",LEFT(Parameters!B1,4) -3, LEFT(Parameters!B1,4) - 2))</f>
        <v>Fall 2016</v>
      </c>
      <c r="J65" s="52" t="str">
        <f>CONCATENATE(IF(RIGHT(Parameters!B1,1) = "1","Fall ", "Spring "),IF(RIGHT(Parameters!B1,1) = "1",LEFT(Parameters!B1,4) -2, LEFT(Parameters!B1,4) - 1))</f>
        <v>Fall 2017</v>
      </c>
      <c r="K65" s="52" t="str">
        <f>CONCATENATE(IF(RIGHT(Parameters!B1,1) = "1","Fall ", "Spring "),IF(RIGHT(Parameters!B1,1) = "1",LEFT(Parameters!B1,4) -1, LEFT(Parameters!B1,4) ))</f>
        <v>Fall 2018</v>
      </c>
      <c r="L65" s="52" t="str">
        <f>CONCATENATE(IF(RIGHT(Parameters!B1,1) = "1","Fall ", "Spring "),IF(RIGHT(Parameters!B1,1) = "1",LEFT(Parameters!B1,4), LEFT(Parameters!B1,4) + 1))</f>
        <v>Fall 2019</v>
      </c>
    </row>
    <row r="66" spans="2:12" ht="16.5" hidden="1" customHeight="1" x14ac:dyDescent="0.2">
      <c r="B66" s="26" t="s">
        <v>2</v>
      </c>
      <c r="C66" s="26" t="s">
        <v>3</v>
      </c>
      <c r="D66" s="26" t="s">
        <v>4</v>
      </c>
      <c r="E66" s="26" t="s">
        <v>5</v>
      </c>
      <c r="F66" s="26" t="s">
        <v>6</v>
      </c>
      <c r="G66" s="26" t="s">
        <v>7</v>
      </c>
      <c r="H66" s="26" t="s">
        <v>8</v>
      </c>
      <c r="I66" s="26" t="s">
        <v>9</v>
      </c>
      <c r="J66" s="26" t="s">
        <v>10</v>
      </c>
      <c r="K66" s="26" t="s">
        <v>11</v>
      </c>
      <c r="L66" s="26" t="s">
        <v>12</v>
      </c>
    </row>
    <row r="67" spans="2:12" x14ac:dyDescent="0.2">
      <c r="B67" s="56" t="s">
        <v>13</v>
      </c>
      <c r="C67" s="57">
        <v>1</v>
      </c>
      <c r="D67" s="57">
        <v>0</v>
      </c>
      <c r="E67" s="57">
        <v>0</v>
      </c>
      <c r="F67" s="57">
        <v>0</v>
      </c>
      <c r="G67" s="57">
        <v>1</v>
      </c>
      <c r="H67" s="57">
        <v>1</v>
      </c>
      <c r="I67" s="57">
        <v>3</v>
      </c>
      <c r="J67" s="57">
        <v>2</v>
      </c>
      <c r="K67" s="57">
        <v>1</v>
      </c>
      <c r="L67" s="57">
        <v>1</v>
      </c>
    </row>
    <row r="68" spans="2:12" x14ac:dyDescent="0.2">
      <c r="B68" s="58" t="s">
        <v>14</v>
      </c>
      <c r="C68" s="59">
        <v>0</v>
      </c>
      <c r="D68" s="59">
        <v>1</v>
      </c>
      <c r="E68" s="59">
        <v>3</v>
      </c>
      <c r="F68" s="59">
        <v>3</v>
      </c>
      <c r="G68" s="59">
        <v>3</v>
      </c>
      <c r="H68" s="59">
        <v>3</v>
      </c>
      <c r="I68" s="59">
        <v>0</v>
      </c>
      <c r="J68" s="59">
        <v>4</v>
      </c>
      <c r="K68" s="59">
        <v>3</v>
      </c>
      <c r="L68" s="59">
        <v>1</v>
      </c>
    </row>
    <row r="69" spans="2:12" x14ac:dyDescent="0.2">
      <c r="B69" s="58" t="s">
        <v>15</v>
      </c>
      <c r="C69" s="59">
        <v>0</v>
      </c>
      <c r="D69" s="59">
        <v>0</v>
      </c>
      <c r="E69" s="59">
        <v>0</v>
      </c>
      <c r="F69" s="59">
        <v>0</v>
      </c>
      <c r="G69" s="59">
        <v>0</v>
      </c>
      <c r="H69" s="59">
        <v>0</v>
      </c>
      <c r="I69" s="59">
        <v>0</v>
      </c>
      <c r="J69" s="59">
        <v>0</v>
      </c>
      <c r="K69" s="59">
        <v>0</v>
      </c>
      <c r="L69" s="59">
        <v>0</v>
      </c>
    </row>
    <row r="70" spans="2:12" x14ac:dyDescent="0.2">
      <c r="B70" s="58" t="s">
        <v>16</v>
      </c>
      <c r="C70" s="59">
        <v>1</v>
      </c>
      <c r="D70" s="59">
        <v>1</v>
      </c>
      <c r="E70" s="59">
        <v>1</v>
      </c>
      <c r="F70" s="59">
        <v>1</v>
      </c>
      <c r="G70" s="59">
        <v>1</v>
      </c>
      <c r="H70" s="59">
        <v>2</v>
      </c>
      <c r="I70" s="59">
        <v>1</v>
      </c>
      <c r="J70" s="59">
        <v>0</v>
      </c>
      <c r="K70" s="59">
        <v>0</v>
      </c>
      <c r="L70" s="59">
        <v>1</v>
      </c>
    </row>
    <row r="71" spans="2:12" x14ac:dyDescent="0.2">
      <c r="B71" s="58" t="s">
        <v>17</v>
      </c>
      <c r="C71" s="59">
        <v>0</v>
      </c>
      <c r="D71" s="59">
        <v>1</v>
      </c>
      <c r="E71" s="59">
        <v>3</v>
      </c>
      <c r="F71" s="59">
        <v>5</v>
      </c>
      <c r="G71" s="59">
        <v>1</v>
      </c>
      <c r="H71" s="59">
        <v>1</v>
      </c>
      <c r="I71" s="59">
        <v>1</v>
      </c>
      <c r="J71" s="59">
        <v>1</v>
      </c>
      <c r="K71" s="59">
        <v>1</v>
      </c>
      <c r="L71" s="59">
        <v>1</v>
      </c>
    </row>
    <row r="72" spans="2:12" x14ac:dyDescent="0.2">
      <c r="B72" s="58" t="s">
        <v>18</v>
      </c>
      <c r="C72" s="59">
        <v>1</v>
      </c>
      <c r="D72" s="59">
        <v>0</v>
      </c>
      <c r="E72" s="59">
        <v>0</v>
      </c>
      <c r="F72" s="59">
        <v>0</v>
      </c>
      <c r="G72" s="59">
        <v>0</v>
      </c>
      <c r="H72" s="59">
        <v>0</v>
      </c>
      <c r="I72" s="59">
        <v>0</v>
      </c>
      <c r="J72" s="59">
        <v>4</v>
      </c>
      <c r="K72" s="59">
        <v>4</v>
      </c>
      <c r="L72" s="59">
        <v>2</v>
      </c>
    </row>
    <row r="73" spans="2:12" x14ac:dyDescent="0.2">
      <c r="B73" s="58" t="s">
        <v>19</v>
      </c>
      <c r="C73" s="59">
        <v>1</v>
      </c>
      <c r="D73" s="59">
        <v>1</v>
      </c>
      <c r="E73" s="59">
        <v>1</v>
      </c>
      <c r="F73" s="59">
        <v>1</v>
      </c>
      <c r="G73" s="59">
        <v>1</v>
      </c>
      <c r="H73" s="59">
        <v>1</v>
      </c>
      <c r="I73" s="59">
        <v>1</v>
      </c>
      <c r="J73" s="59">
        <v>0</v>
      </c>
      <c r="K73" s="59">
        <v>1</v>
      </c>
      <c r="L73" s="59">
        <v>0</v>
      </c>
    </row>
    <row r="74" spans="2:12" x14ac:dyDescent="0.2">
      <c r="B74" s="58" t="s">
        <v>20</v>
      </c>
      <c r="C74" s="59">
        <v>0</v>
      </c>
      <c r="D74" s="59">
        <v>0</v>
      </c>
      <c r="E74" s="59">
        <v>0</v>
      </c>
      <c r="F74" s="59">
        <v>0</v>
      </c>
      <c r="G74" s="59">
        <v>0</v>
      </c>
      <c r="H74" s="59">
        <v>0</v>
      </c>
      <c r="I74" s="59">
        <v>0</v>
      </c>
      <c r="J74" s="59">
        <v>0</v>
      </c>
      <c r="K74" s="59">
        <v>1</v>
      </c>
      <c r="L74" s="59">
        <v>1</v>
      </c>
    </row>
    <row r="75" spans="2:12" x14ac:dyDescent="0.2">
      <c r="B75" s="58" t="s">
        <v>21</v>
      </c>
      <c r="C75" s="59">
        <v>0</v>
      </c>
      <c r="D75" s="59">
        <v>0</v>
      </c>
      <c r="E75" s="59">
        <v>0</v>
      </c>
      <c r="F75" s="59">
        <v>0</v>
      </c>
      <c r="G75" s="59">
        <v>0</v>
      </c>
      <c r="H75" s="59">
        <v>0</v>
      </c>
      <c r="I75" s="59">
        <v>0</v>
      </c>
      <c r="J75" s="59">
        <v>0</v>
      </c>
      <c r="K75" s="59">
        <v>0</v>
      </c>
      <c r="L75" s="59">
        <v>0</v>
      </c>
    </row>
    <row r="76" spans="2:12" x14ac:dyDescent="0.2">
      <c r="B76" s="58" t="s">
        <v>22</v>
      </c>
      <c r="C76" s="59">
        <v>1</v>
      </c>
      <c r="D76" s="59">
        <v>1</v>
      </c>
      <c r="E76" s="59">
        <v>1</v>
      </c>
      <c r="F76" s="59">
        <v>0</v>
      </c>
      <c r="G76" s="59">
        <v>0</v>
      </c>
      <c r="H76" s="59">
        <v>0</v>
      </c>
      <c r="I76" s="59">
        <v>0</v>
      </c>
      <c r="J76" s="59">
        <v>0</v>
      </c>
      <c r="K76" s="59">
        <v>0</v>
      </c>
      <c r="L76" s="59">
        <v>0</v>
      </c>
    </row>
    <row r="77" spans="2:12" x14ac:dyDescent="0.2">
      <c r="B77" s="58" t="s">
        <v>23</v>
      </c>
      <c r="C77" s="59">
        <v>0</v>
      </c>
      <c r="D77" s="59">
        <v>0</v>
      </c>
      <c r="E77" s="59">
        <v>1</v>
      </c>
      <c r="F77" s="59">
        <v>3</v>
      </c>
      <c r="G77" s="59">
        <v>2</v>
      </c>
      <c r="H77" s="59">
        <v>1</v>
      </c>
      <c r="I77" s="59">
        <v>2</v>
      </c>
      <c r="J77" s="59">
        <v>0</v>
      </c>
      <c r="K77" s="59">
        <v>0</v>
      </c>
      <c r="L77" s="59">
        <v>0</v>
      </c>
    </row>
    <row r="78" spans="2:12" x14ac:dyDescent="0.2">
      <c r="B78" s="58" t="s">
        <v>24</v>
      </c>
      <c r="C78" s="59">
        <v>0</v>
      </c>
      <c r="D78" s="59">
        <v>0</v>
      </c>
      <c r="E78" s="59">
        <v>0</v>
      </c>
      <c r="F78" s="59">
        <v>0</v>
      </c>
      <c r="G78" s="59">
        <v>3</v>
      </c>
      <c r="H78" s="59">
        <v>1</v>
      </c>
      <c r="I78" s="59">
        <v>0</v>
      </c>
      <c r="J78" s="59">
        <v>0</v>
      </c>
      <c r="K78" s="59">
        <v>0</v>
      </c>
      <c r="L78" s="59">
        <v>0</v>
      </c>
    </row>
    <row r="79" spans="2:12" x14ac:dyDescent="0.2">
      <c r="B79" s="58" t="s">
        <v>25</v>
      </c>
      <c r="C79" s="59">
        <v>0</v>
      </c>
      <c r="D79" s="59">
        <v>0</v>
      </c>
      <c r="E79" s="59">
        <v>0</v>
      </c>
      <c r="F79" s="59">
        <v>1</v>
      </c>
      <c r="G79" s="59">
        <v>1</v>
      </c>
      <c r="H79" s="59">
        <v>2</v>
      </c>
      <c r="I79" s="59">
        <v>1</v>
      </c>
      <c r="J79" s="59">
        <v>1</v>
      </c>
      <c r="K79" s="59">
        <v>0</v>
      </c>
      <c r="L79" s="59">
        <v>0</v>
      </c>
    </row>
    <row r="80" spans="2:12" x14ac:dyDescent="0.2">
      <c r="B80" s="61" t="s">
        <v>26</v>
      </c>
      <c r="C80" s="62">
        <v>1</v>
      </c>
      <c r="D80" s="62">
        <v>1</v>
      </c>
      <c r="E80" s="62">
        <v>1</v>
      </c>
      <c r="F80" s="62">
        <v>1</v>
      </c>
      <c r="G80" s="62">
        <v>3</v>
      </c>
      <c r="H80" s="62">
        <v>0</v>
      </c>
      <c r="I80" s="62">
        <v>2</v>
      </c>
      <c r="J80" s="62">
        <v>0</v>
      </c>
      <c r="K80" s="62">
        <v>0</v>
      </c>
      <c r="L80" s="62">
        <v>3</v>
      </c>
    </row>
    <row r="81" spans="2:12" x14ac:dyDescent="0.2">
      <c r="B81" s="20" t="s">
        <v>27</v>
      </c>
      <c r="C81" s="21">
        <f>SUBTOTAL(109,'Graduate Ethnicity Trend'!$C$67:$C$80)</f>
        <v>6</v>
      </c>
      <c r="D81" s="21">
        <f>SUBTOTAL(109,'Graduate Ethnicity Trend'!$D$67:$D$80)</f>
        <v>6</v>
      </c>
      <c r="E81" s="21">
        <f>SUBTOTAL(109,'Graduate Ethnicity Trend'!$E$67:$E$80)</f>
        <v>11</v>
      </c>
      <c r="F81" s="21">
        <f>SUBTOTAL(109,'Graduate Ethnicity Trend'!$F$67:$F$80)</f>
        <v>15</v>
      </c>
      <c r="G81" s="21">
        <f>SUBTOTAL(109,'Graduate Ethnicity Trend'!$G$67:$G$80)</f>
        <v>16</v>
      </c>
      <c r="H81" s="21">
        <f>SUBTOTAL(109,'Graduate Ethnicity Trend'!$H$67:$H$80)</f>
        <v>12</v>
      </c>
      <c r="I81" s="21">
        <f>SUBTOTAL(109,'Graduate Ethnicity Trend'!$I$67:$I$80)</f>
        <v>11</v>
      </c>
      <c r="J81" s="21">
        <f>SUBTOTAL(109,'Graduate Ethnicity Trend'!$J$67:$J$80)</f>
        <v>12</v>
      </c>
      <c r="K81" s="21">
        <f>SUBTOTAL(109,'Graduate Ethnicity Trend'!$K$67:$K$80)</f>
        <v>11</v>
      </c>
      <c r="L81" s="21">
        <f>SUBTOTAL(109,'Graduate Ethnicity Trend'!$L$67:$L$80)</f>
        <v>10</v>
      </c>
    </row>
    <row r="84" spans="2:12" ht="15" x14ac:dyDescent="0.2">
      <c r="B84" s="127" t="s">
        <v>71</v>
      </c>
      <c r="C84" s="127"/>
      <c r="D84" s="127"/>
      <c r="E84" s="127"/>
      <c r="F84" s="127"/>
      <c r="G84" s="127"/>
      <c r="H84" s="127"/>
      <c r="I84" s="127"/>
      <c r="J84" s="127"/>
      <c r="K84" s="127"/>
      <c r="L84" s="127"/>
    </row>
    <row r="85" spans="2:12" ht="30.95" customHeight="1" x14ac:dyDescent="0.2">
      <c r="B85" s="52" t="s">
        <v>1</v>
      </c>
      <c r="C85" s="52" t="str">
        <f>CONCATENATE(IF(RIGHT(Parameters!B1,1) = "1","Fall ", "Spring "),IF(RIGHT(Parameters!B1,1) = "1",LEFT(Parameters!B1,4) -9, LEFT(Parameters!B1,4) - 8))</f>
        <v>Fall 2010</v>
      </c>
      <c r="D85" s="52" t="str">
        <f>CONCATENATE(IF(RIGHT(Parameters!B1,1) = "1","Fall ", "Spring "),IF(RIGHT(Parameters!B1,1) = "1",LEFT(Parameters!B1,4) -8, LEFT(Parameters!B1,4) - 7))</f>
        <v>Fall 2011</v>
      </c>
      <c r="E85" s="52" t="str">
        <f>CONCATENATE(IF(RIGHT(Parameters!B1,1) = "1","Fall ", "Spring "),IF(RIGHT(Parameters!B1,1) = "1",LEFT(Parameters!B1,4) -7, LEFT(Parameters!B1,4) - 6))</f>
        <v>Fall 2012</v>
      </c>
      <c r="F85" s="52" t="str">
        <f>CONCATENATE(IF(RIGHT(Parameters!B1,1) = "1","Fall ", "Spring "),IF(RIGHT(Parameters!B1,1) = "1",LEFT(Parameters!B1,4) -6, LEFT(Parameters!B1,4) - 5))</f>
        <v>Fall 2013</v>
      </c>
      <c r="G85" s="52" t="str">
        <f>CONCATENATE(IF(RIGHT(Parameters!B1,1) = "1","Fall ", "Spring "),IF(RIGHT(Parameters!B1,1) = "1",LEFT(Parameters!B1,4) -5, LEFT(Parameters!B1,4) - 4))</f>
        <v>Fall 2014</v>
      </c>
      <c r="H85" s="52" t="str">
        <f>CONCATENATE(IF(RIGHT(Parameters!B1,1) = "1","Fall ", "Spring "),IF(RIGHT(Parameters!B1,1) = "1",LEFT(Parameters!B1,4) -4, LEFT(Parameters!B1,4) - 3))</f>
        <v>Fall 2015</v>
      </c>
      <c r="I85" s="52" t="str">
        <f>CONCATENATE(IF(RIGHT(Parameters!B1,1) = "1","Fall ", "Spring "),IF(RIGHT(Parameters!B1,1) = "1",LEFT(Parameters!B1,4) -3, LEFT(Parameters!B1,4) - 2))</f>
        <v>Fall 2016</v>
      </c>
      <c r="J85" s="52" t="str">
        <f>CONCATENATE(IF(RIGHT(Parameters!B1,1) = "1","Fall ", "Spring "),IF(RIGHT(Parameters!B1,1) = "1",LEFT(Parameters!B1,4) -2, LEFT(Parameters!B1,4) - 1))</f>
        <v>Fall 2017</v>
      </c>
      <c r="K85" s="52" t="str">
        <f>CONCATENATE(IF(RIGHT(Parameters!B1,1) = "1","Fall ", "Spring "),IF(RIGHT(Parameters!B1,1) = "1",LEFT(Parameters!B1,4) -1, LEFT(Parameters!B1,4) ))</f>
        <v>Fall 2018</v>
      </c>
      <c r="L85" s="52" t="str">
        <f>CONCATENATE(IF(RIGHT(Parameters!B1,1) = "1","Fall ", "Spring "),IF(RIGHT(Parameters!B1,1) = "1",LEFT(Parameters!B1,4), LEFT(Parameters!B1,4) + 1))</f>
        <v>Fall 2019</v>
      </c>
    </row>
    <row r="86" spans="2:12" ht="16.5" hidden="1" customHeight="1" x14ac:dyDescent="0.2">
      <c r="B86" s="26" t="s">
        <v>2</v>
      </c>
      <c r="C86" s="26" t="s">
        <v>3</v>
      </c>
      <c r="D86" s="26" t="s">
        <v>4</v>
      </c>
      <c r="E86" s="26" t="s">
        <v>5</v>
      </c>
      <c r="F86" s="26" t="s">
        <v>6</v>
      </c>
      <c r="G86" s="26" t="s">
        <v>7</v>
      </c>
      <c r="H86" s="26" t="s">
        <v>8</v>
      </c>
      <c r="I86" s="26" t="s">
        <v>9</v>
      </c>
      <c r="J86" s="26" t="s">
        <v>10</v>
      </c>
      <c r="K86" s="26" t="s">
        <v>11</v>
      </c>
      <c r="L86" s="26" t="s">
        <v>12</v>
      </c>
    </row>
    <row r="87" spans="2:12" x14ac:dyDescent="0.2">
      <c r="B87" s="56" t="s">
        <v>13</v>
      </c>
      <c r="C87" s="57">
        <v>1</v>
      </c>
      <c r="D87" s="57">
        <v>0</v>
      </c>
      <c r="E87" s="57">
        <v>1</v>
      </c>
      <c r="F87" s="57">
        <v>1</v>
      </c>
      <c r="G87" s="57">
        <v>0</v>
      </c>
      <c r="H87" s="57">
        <v>0</v>
      </c>
      <c r="I87" s="57">
        <v>0</v>
      </c>
      <c r="J87" s="57">
        <v>0</v>
      </c>
      <c r="K87" s="57">
        <v>1</v>
      </c>
      <c r="L87" s="57">
        <v>3</v>
      </c>
    </row>
    <row r="88" spans="2:12" x14ac:dyDescent="0.2">
      <c r="B88" s="58" t="s">
        <v>14</v>
      </c>
      <c r="C88" s="59">
        <v>13</v>
      </c>
      <c r="D88" s="59">
        <v>3</v>
      </c>
      <c r="E88" s="59">
        <v>6</v>
      </c>
      <c r="F88" s="59">
        <v>5</v>
      </c>
      <c r="G88" s="59">
        <v>3</v>
      </c>
      <c r="H88" s="59">
        <v>5</v>
      </c>
      <c r="I88" s="59">
        <v>4</v>
      </c>
      <c r="J88" s="59">
        <v>2</v>
      </c>
      <c r="K88" s="59">
        <v>5</v>
      </c>
      <c r="L88" s="59">
        <v>2</v>
      </c>
    </row>
    <row r="89" spans="2:12" x14ac:dyDescent="0.2">
      <c r="B89" s="58" t="s">
        <v>15</v>
      </c>
      <c r="C89" s="59">
        <v>0</v>
      </c>
      <c r="D89" s="59">
        <v>0</v>
      </c>
      <c r="E89" s="59">
        <v>0</v>
      </c>
      <c r="F89" s="59">
        <v>0</v>
      </c>
      <c r="G89" s="59">
        <v>0</v>
      </c>
      <c r="H89" s="59">
        <v>0</v>
      </c>
      <c r="I89" s="59">
        <v>0</v>
      </c>
      <c r="J89" s="59">
        <v>0</v>
      </c>
      <c r="K89" s="59">
        <v>0</v>
      </c>
      <c r="L89" s="59">
        <v>0</v>
      </c>
    </row>
    <row r="90" spans="2:12" x14ac:dyDescent="0.2">
      <c r="B90" s="58" t="s">
        <v>16</v>
      </c>
      <c r="C90" s="59">
        <v>1</v>
      </c>
      <c r="D90" s="59">
        <v>1</v>
      </c>
      <c r="E90" s="59">
        <v>1</v>
      </c>
      <c r="F90" s="59">
        <v>1</v>
      </c>
      <c r="G90" s="59">
        <v>2</v>
      </c>
      <c r="H90" s="59">
        <v>2</v>
      </c>
      <c r="I90" s="59">
        <v>0</v>
      </c>
      <c r="J90" s="59">
        <v>1</v>
      </c>
      <c r="K90" s="59">
        <v>2</v>
      </c>
      <c r="L90" s="59">
        <v>3</v>
      </c>
    </row>
    <row r="91" spans="2:12" x14ac:dyDescent="0.2">
      <c r="B91" s="58" t="s">
        <v>17</v>
      </c>
      <c r="C91" s="59">
        <v>1</v>
      </c>
      <c r="D91" s="59">
        <v>2</v>
      </c>
      <c r="E91" s="59">
        <v>0</v>
      </c>
      <c r="F91" s="59">
        <v>2</v>
      </c>
      <c r="G91" s="59">
        <v>1</v>
      </c>
      <c r="H91" s="59">
        <v>1</v>
      </c>
      <c r="I91" s="59">
        <v>0</v>
      </c>
      <c r="J91" s="59">
        <v>2</v>
      </c>
      <c r="K91" s="59">
        <v>0</v>
      </c>
      <c r="L91" s="59">
        <v>1</v>
      </c>
    </row>
    <row r="92" spans="2:12" x14ac:dyDescent="0.2">
      <c r="B92" s="58" t="s">
        <v>18</v>
      </c>
      <c r="C92" s="59">
        <v>6</v>
      </c>
      <c r="D92" s="59">
        <v>4</v>
      </c>
      <c r="E92" s="59">
        <v>4</v>
      </c>
      <c r="F92" s="59">
        <v>2</v>
      </c>
      <c r="G92" s="59">
        <v>2</v>
      </c>
      <c r="H92" s="59">
        <v>1</v>
      </c>
      <c r="I92" s="59">
        <v>3</v>
      </c>
      <c r="J92" s="59">
        <v>6</v>
      </c>
      <c r="K92" s="59">
        <v>7</v>
      </c>
      <c r="L92" s="59">
        <v>4</v>
      </c>
    </row>
    <row r="93" spans="2:12" x14ac:dyDescent="0.2">
      <c r="B93" s="58" t="s">
        <v>19</v>
      </c>
      <c r="C93" s="59">
        <v>6</v>
      </c>
      <c r="D93" s="59">
        <v>4</v>
      </c>
      <c r="E93" s="59">
        <v>3</v>
      </c>
      <c r="F93" s="59">
        <v>2</v>
      </c>
      <c r="G93" s="59">
        <v>3</v>
      </c>
      <c r="H93" s="59">
        <v>4</v>
      </c>
      <c r="I93" s="59">
        <v>4</v>
      </c>
      <c r="J93" s="59">
        <v>5</v>
      </c>
      <c r="K93" s="59">
        <v>4</v>
      </c>
      <c r="L93" s="59">
        <v>4</v>
      </c>
    </row>
    <row r="94" spans="2:12" x14ac:dyDescent="0.2">
      <c r="B94" s="58" t="s">
        <v>20</v>
      </c>
      <c r="C94" s="59">
        <v>4</v>
      </c>
      <c r="D94" s="59">
        <v>2</v>
      </c>
      <c r="E94" s="59">
        <v>2</v>
      </c>
      <c r="F94" s="59">
        <v>1</v>
      </c>
      <c r="G94" s="59">
        <v>0</v>
      </c>
      <c r="H94" s="59">
        <v>0</v>
      </c>
      <c r="I94" s="59">
        <v>0</v>
      </c>
      <c r="J94" s="59">
        <v>1</v>
      </c>
      <c r="K94" s="59">
        <v>1</v>
      </c>
      <c r="L94" s="59">
        <v>0</v>
      </c>
    </row>
    <row r="95" spans="2:12" x14ac:dyDescent="0.2">
      <c r="B95" s="58" t="s">
        <v>21</v>
      </c>
      <c r="C95" s="59">
        <v>1</v>
      </c>
      <c r="D95" s="59">
        <v>1</v>
      </c>
      <c r="E95" s="59">
        <v>2</v>
      </c>
      <c r="F95" s="59">
        <v>1</v>
      </c>
      <c r="G95" s="59">
        <v>0</v>
      </c>
      <c r="H95" s="59">
        <v>0</v>
      </c>
      <c r="I95" s="59">
        <v>0</v>
      </c>
      <c r="J95" s="59">
        <v>2</v>
      </c>
      <c r="K95" s="59">
        <v>3</v>
      </c>
      <c r="L95" s="59">
        <v>2</v>
      </c>
    </row>
    <row r="96" spans="2:12" x14ac:dyDescent="0.2">
      <c r="B96" s="58" t="s">
        <v>22</v>
      </c>
      <c r="C96" s="59">
        <v>2</v>
      </c>
      <c r="D96" s="59">
        <v>3</v>
      </c>
      <c r="E96" s="59">
        <v>1</v>
      </c>
      <c r="F96" s="59">
        <v>0</v>
      </c>
      <c r="G96" s="59">
        <v>0</v>
      </c>
      <c r="H96" s="59">
        <v>0</v>
      </c>
      <c r="I96" s="59">
        <v>0</v>
      </c>
      <c r="J96" s="59">
        <v>1</v>
      </c>
      <c r="K96" s="59">
        <v>0</v>
      </c>
      <c r="L96" s="59">
        <v>0</v>
      </c>
    </row>
    <row r="97" spans="2:12" x14ac:dyDescent="0.2">
      <c r="B97" s="58" t="s">
        <v>23</v>
      </c>
      <c r="C97" s="59">
        <v>1</v>
      </c>
      <c r="D97" s="59">
        <v>2</v>
      </c>
      <c r="E97" s="59">
        <v>1</v>
      </c>
      <c r="F97" s="59">
        <v>3</v>
      </c>
      <c r="G97" s="59">
        <v>3</v>
      </c>
      <c r="H97" s="59">
        <v>1</v>
      </c>
      <c r="I97" s="59">
        <v>4</v>
      </c>
      <c r="J97" s="59">
        <v>4</v>
      </c>
      <c r="K97" s="59">
        <v>2</v>
      </c>
      <c r="L97" s="59">
        <v>0</v>
      </c>
    </row>
    <row r="98" spans="2:12" x14ac:dyDescent="0.2">
      <c r="B98" s="58" t="s">
        <v>24</v>
      </c>
      <c r="C98" s="59">
        <v>1</v>
      </c>
      <c r="D98" s="59">
        <v>4</v>
      </c>
      <c r="E98" s="59">
        <v>5</v>
      </c>
      <c r="F98" s="59">
        <v>2</v>
      </c>
      <c r="G98" s="59">
        <v>3</v>
      </c>
      <c r="H98" s="59">
        <v>1</v>
      </c>
      <c r="I98" s="59">
        <v>0</v>
      </c>
      <c r="J98" s="59">
        <v>0</v>
      </c>
      <c r="K98" s="59">
        <v>0</v>
      </c>
      <c r="L98" s="59">
        <v>0</v>
      </c>
    </row>
    <row r="99" spans="2:12" x14ac:dyDescent="0.2">
      <c r="B99" s="58" t="s">
        <v>25</v>
      </c>
      <c r="C99" s="59">
        <v>5</v>
      </c>
      <c r="D99" s="59">
        <v>2</v>
      </c>
      <c r="E99" s="59">
        <v>2</v>
      </c>
      <c r="F99" s="59">
        <v>1</v>
      </c>
      <c r="G99" s="59">
        <v>3</v>
      </c>
      <c r="H99" s="59">
        <v>2</v>
      </c>
      <c r="I99" s="59">
        <v>0</v>
      </c>
      <c r="J99" s="59">
        <v>0</v>
      </c>
      <c r="K99" s="59">
        <v>2</v>
      </c>
      <c r="L99" s="59">
        <v>3</v>
      </c>
    </row>
    <row r="100" spans="2:12" x14ac:dyDescent="0.2">
      <c r="B100" s="61" t="s">
        <v>26</v>
      </c>
      <c r="C100" s="62">
        <v>7</v>
      </c>
      <c r="D100" s="62">
        <v>3</v>
      </c>
      <c r="E100" s="62">
        <v>4</v>
      </c>
      <c r="F100" s="62">
        <v>5</v>
      </c>
      <c r="G100" s="62">
        <v>4</v>
      </c>
      <c r="H100" s="62">
        <v>2</v>
      </c>
      <c r="I100" s="62">
        <v>1</v>
      </c>
      <c r="J100" s="62">
        <v>0</v>
      </c>
      <c r="K100" s="62">
        <v>2</v>
      </c>
      <c r="L100" s="62">
        <v>4</v>
      </c>
    </row>
    <row r="101" spans="2:12" x14ac:dyDescent="0.2">
      <c r="B101" s="20" t="s">
        <v>27</v>
      </c>
      <c r="C101" s="21">
        <f>SUBTOTAL(109,'Graduate Ethnicity Trend'!$C$87:$C$100)</f>
        <v>49</v>
      </c>
      <c r="D101" s="21">
        <f>SUBTOTAL(109,'Graduate Ethnicity Trend'!$D$87:$D$100)</f>
        <v>31</v>
      </c>
      <c r="E101" s="21">
        <f>SUBTOTAL(109,'Graduate Ethnicity Trend'!$E$87:$E$100)</f>
        <v>32</v>
      </c>
      <c r="F101" s="21">
        <f>SUBTOTAL(109,'Graduate Ethnicity Trend'!$F$87:$F$100)</f>
        <v>26</v>
      </c>
      <c r="G101" s="21">
        <f>SUBTOTAL(109,'Graduate Ethnicity Trend'!$G$87:$G$100)</f>
        <v>24</v>
      </c>
      <c r="H101" s="21">
        <f>SUBTOTAL(109,'Graduate Ethnicity Trend'!$H$87:$H$100)</f>
        <v>19</v>
      </c>
      <c r="I101" s="21">
        <f>SUBTOTAL(109,'Graduate Ethnicity Trend'!$I$87:$I$100)</f>
        <v>16</v>
      </c>
      <c r="J101" s="21">
        <f>SUBTOTAL(109,'Graduate Ethnicity Trend'!$J$87:$J$100)</f>
        <v>24</v>
      </c>
      <c r="K101" s="21">
        <f>SUBTOTAL(109,'Graduate Ethnicity Trend'!$K$87:$K$100)</f>
        <v>29</v>
      </c>
      <c r="L101" s="21">
        <f>SUBTOTAL(109,'Graduate Ethnicity Trend'!$L$87:$L$100)</f>
        <v>26</v>
      </c>
    </row>
    <row r="104" spans="2:12" ht="15" x14ac:dyDescent="0.2">
      <c r="B104" s="127" t="s">
        <v>72</v>
      </c>
      <c r="C104" s="127"/>
      <c r="D104" s="127"/>
      <c r="E104" s="127"/>
      <c r="F104" s="127"/>
      <c r="G104" s="127"/>
      <c r="H104" s="127"/>
      <c r="I104" s="127"/>
      <c r="J104" s="127"/>
      <c r="K104" s="127"/>
      <c r="L104" s="127"/>
    </row>
    <row r="105" spans="2:12" ht="30.95" customHeight="1" x14ac:dyDescent="0.2">
      <c r="B105" s="52" t="s">
        <v>1</v>
      </c>
      <c r="C105" s="52" t="str">
        <f>CONCATENATE(IF(RIGHT(Parameters!B1,1) = "1","Fall ", "Spring "),IF(RIGHT(Parameters!B1,1) = "1",LEFT(Parameters!B1,4) -9, LEFT(Parameters!B1,4) - 8))</f>
        <v>Fall 2010</v>
      </c>
      <c r="D105" s="52" t="str">
        <f>CONCATENATE(IF(RIGHT(Parameters!B1,1) = "1","Fall ", "Spring "),IF(RIGHT(Parameters!B1,1) = "1",LEFT(Parameters!B1,4) -8, LEFT(Parameters!B1,4) - 7))</f>
        <v>Fall 2011</v>
      </c>
      <c r="E105" s="52" t="str">
        <f>CONCATENATE(IF(RIGHT(Parameters!B1,1) = "1","Fall ", "Spring "),IF(RIGHT(Parameters!B1,1) = "1",LEFT(Parameters!B1,4) -7, LEFT(Parameters!B1,4) - 6))</f>
        <v>Fall 2012</v>
      </c>
      <c r="F105" s="52" t="str">
        <f>CONCATENATE(IF(RIGHT(Parameters!B1,1) = "1","Fall ", "Spring "),IF(RIGHT(Parameters!B1,1) = "1",LEFT(Parameters!B1,4) -6, LEFT(Parameters!B1,4) - 5))</f>
        <v>Fall 2013</v>
      </c>
      <c r="G105" s="52" t="str">
        <f>CONCATENATE(IF(RIGHT(Parameters!B1,1) = "1","Fall ", "Spring "),IF(RIGHT(Parameters!B1,1) = "1",LEFT(Parameters!B1,4) -5, LEFT(Parameters!B1,4) - 4))</f>
        <v>Fall 2014</v>
      </c>
      <c r="H105" s="52" t="str">
        <f>CONCATENATE(IF(RIGHT(Parameters!B1,1) = "1","Fall ", "Spring "),IF(RIGHT(Parameters!B1,1) = "1",LEFT(Parameters!B1,4) -4, LEFT(Parameters!B1,4) - 3))</f>
        <v>Fall 2015</v>
      </c>
      <c r="I105" s="52" t="str">
        <f>CONCATENATE(IF(RIGHT(Parameters!B1,1) = "1","Fall ", "Spring "),IF(RIGHT(Parameters!B1,1) = "1",LEFT(Parameters!B1,4) -3, LEFT(Parameters!B1,4) - 2))</f>
        <v>Fall 2016</v>
      </c>
      <c r="J105" s="52" t="str">
        <f>CONCATENATE(IF(RIGHT(Parameters!B1,1) = "1","Fall ", "Spring "),IF(RIGHT(Parameters!B1,1) = "1",LEFT(Parameters!B1,4) -2, LEFT(Parameters!B1,4) - 1))</f>
        <v>Fall 2017</v>
      </c>
      <c r="K105" s="52" t="str">
        <f>CONCATENATE(IF(RIGHT(Parameters!B1,1) = "1","Fall ", "Spring "),IF(RIGHT(Parameters!B1,1) = "1",LEFT(Parameters!B1,4) -1, LEFT(Parameters!B1,4) ))</f>
        <v>Fall 2018</v>
      </c>
      <c r="L105" s="52" t="str">
        <f>CONCATENATE(IF(RIGHT(Parameters!B1,1) = "1","Fall ", "Spring "),IF(RIGHT(Parameters!B1,1) = "1",LEFT(Parameters!B1,4), LEFT(Parameters!B1,4) + 1))</f>
        <v>Fall 2019</v>
      </c>
    </row>
    <row r="106" spans="2:12" ht="16.5" hidden="1" customHeight="1" x14ac:dyDescent="0.2">
      <c r="B106" s="26" t="s">
        <v>2</v>
      </c>
      <c r="C106" s="26" t="s">
        <v>3</v>
      </c>
      <c r="D106" s="26" t="s">
        <v>4</v>
      </c>
      <c r="E106" s="26" t="s">
        <v>5</v>
      </c>
      <c r="F106" s="26" t="s">
        <v>6</v>
      </c>
      <c r="G106" s="26" t="s">
        <v>7</v>
      </c>
      <c r="H106" s="26" t="s">
        <v>8</v>
      </c>
      <c r="I106" s="26" t="s">
        <v>9</v>
      </c>
      <c r="J106" s="26" t="s">
        <v>10</v>
      </c>
      <c r="K106" s="26" t="s">
        <v>11</v>
      </c>
      <c r="L106" s="26" t="s">
        <v>12</v>
      </c>
    </row>
    <row r="107" spans="2:12" x14ac:dyDescent="0.2">
      <c r="B107" s="56" t="s">
        <v>13</v>
      </c>
      <c r="C107" s="57">
        <v>852</v>
      </c>
      <c r="D107" s="57">
        <v>792</v>
      </c>
      <c r="E107" s="57">
        <v>645</v>
      </c>
      <c r="F107" s="57">
        <v>603</v>
      </c>
      <c r="G107" s="57">
        <v>577</v>
      </c>
      <c r="H107" s="57">
        <v>545</v>
      </c>
      <c r="I107" s="57">
        <v>573</v>
      </c>
      <c r="J107" s="57">
        <v>590</v>
      </c>
      <c r="K107" s="57">
        <v>582</v>
      </c>
      <c r="L107" s="57">
        <v>599</v>
      </c>
    </row>
    <row r="108" spans="2:12" x14ac:dyDescent="0.2">
      <c r="B108" s="58" t="s">
        <v>14</v>
      </c>
      <c r="C108" s="59">
        <v>1578</v>
      </c>
      <c r="D108" s="59">
        <v>1286</v>
      </c>
      <c r="E108" s="59">
        <v>1434</v>
      </c>
      <c r="F108" s="59">
        <v>1386</v>
      </c>
      <c r="G108" s="59">
        <v>1465</v>
      </c>
      <c r="H108" s="59">
        <v>1615</v>
      </c>
      <c r="I108" s="59">
        <v>1597</v>
      </c>
      <c r="J108" s="59">
        <v>1549</v>
      </c>
      <c r="K108" s="59">
        <v>1617</v>
      </c>
      <c r="L108" s="59">
        <v>1554</v>
      </c>
    </row>
    <row r="109" spans="2:12" x14ac:dyDescent="0.2">
      <c r="B109" s="58" t="s">
        <v>15</v>
      </c>
      <c r="C109" s="59">
        <v>1</v>
      </c>
      <c r="D109" s="59">
        <v>0</v>
      </c>
      <c r="E109" s="59">
        <v>1</v>
      </c>
      <c r="F109" s="59">
        <v>2</v>
      </c>
      <c r="G109" s="59">
        <v>0</v>
      </c>
      <c r="H109" s="59">
        <v>0</v>
      </c>
      <c r="I109" s="59">
        <v>1</v>
      </c>
      <c r="J109" s="59">
        <v>0</v>
      </c>
      <c r="K109" s="59">
        <v>0</v>
      </c>
      <c r="L109" s="59">
        <v>0</v>
      </c>
    </row>
    <row r="110" spans="2:12" x14ac:dyDescent="0.2">
      <c r="B110" s="58" t="s">
        <v>16</v>
      </c>
      <c r="C110" s="59">
        <v>941</v>
      </c>
      <c r="D110" s="59">
        <v>874</v>
      </c>
      <c r="E110" s="59">
        <v>804</v>
      </c>
      <c r="F110" s="59">
        <v>733</v>
      </c>
      <c r="G110" s="59">
        <v>685</v>
      </c>
      <c r="H110" s="59">
        <v>708</v>
      </c>
      <c r="I110" s="59">
        <v>778</v>
      </c>
      <c r="J110" s="59">
        <v>772</v>
      </c>
      <c r="K110" s="59">
        <v>791</v>
      </c>
      <c r="L110" s="59">
        <v>778</v>
      </c>
    </row>
    <row r="111" spans="2:12" x14ac:dyDescent="0.2">
      <c r="B111" s="58" t="s">
        <v>17</v>
      </c>
      <c r="C111" s="59">
        <v>834</v>
      </c>
      <c r="D111" s="59">
        <v>557</v>
      </c>
      <c r="E111" s="59">
        <v>462</v>
      </c>
      <c r="F111" s="59">
        <v>435</v>
      </c>
      <c r="G111" s="59">
        <v>443</v>
      </c>
      <c r="H111" s="59">
        <v>491</v>
      </c>
      <c r="I111" s="59">
        <v>537</v>
      </c>
      <c r="J111" s="59">
        <v>546</v>
      </c>
      <c r="K111" s="59">
        <v>580</v>
      </c>
      <c r="L111" s="59">
        <v>609</v>
      </c>
    </row>
    <row r="112" spans="2:12" x14ac:dyDescent="0.2">
      <c r="B112" s="58" t="s">
        <v>18</v>
      </c>
      <c r="C112" s="59">
        <v>1841</v>
      </c>
      <c r="D112" s="59">
        <v>1533</v>
      </c>
      <c r="E112" s="59">
        <v>1268</v>
      </c>
      <c r="F112" s="59">
        <v>1118</v>
      </c>
      <c r="G112" s="59">
        <v>1112</v>
      </c>
      <c r="H112" s="59">
        <v>1134</v>
      </c>
      <c r="I112" s="59">
        <v>1142</v>
      </c>
      <c r="J112" s="59">
        <v>1087</v>
      </c>
      <c r="K112" s="59">
        <v>1054</v>
      </c>
      <c r="L112" s="59">
        <v>1071</v>
      </c>
    </row>
    <row r="113" spans="2:12" x14ac:dyDescent="0.2">
      <c r="B113" s="58" t="s">
        <v>19</v>
      </c>
      <c r="C113" s="59">
        <v>1588</v>
      </c>
      <c r="D113" s="59">
        <v>1531</v>
      </c>
      <c r="E113" s="59">
        <v>1631</v>
      </c>
      <c r="F113" s="59">
        <v>1513</v>
      </c>
      <c r="G113" s="59">
        <v>1532</v>
      </c>
      <c r="H113" s="59">
        <v>1457</v>
      </c>
      <c r="I113" s="59">
        <v>1454</v>
      </c>
      <c r="J113" s="59">
        <v>1441</v>
      </c>
      <c r="K113" s="59">
        <v>1432</v>
      </c>
      <c r="L113" s="59">
        <v>1401</v>
      </c>
    </row>
    <row r="114" spans="2:12" x14ac:dyDescent="0.2">
      <c r="B114" s="58" t="s">
        <v>20</v>
      </c>
      <c r="C114" s="59">
        <v>852</v>
      </c>
      <c r="D114" s="59">
        <v>672</v>
      </c>
      <c r="E114" s="59">
        <v>563</v>
      </c>
      <c r="F114" s="59">
        <v>580</v>
      </c>
      <c r="G114" s="59">
        <v>537</v>
      </c>
      <c r="H114" s="59">
        <v>566</v>
      </c>
      <c r="I114" s="59">
        <v>642</v>
      </c>
      <c r="J114" s="59">
        <v>668</v>
      </c>
      <c r="K114" s="59">
        <v>742</v>
      </c>
      <c r="L114" s="59">
        <v>794</v>
      </c>
    </row>
    <row r="115" spans="2:12" x14ac:dyDescent="0.2">
      <c r="B115" s="58" t="s">
        <v>21</v>
      </c>
      <c r="C115" s="59">
        <v>304</v>
      </c>
      <c r="D115" s="59">
        <v>312</v>
      </c>
      <c r="E115" s="59">
        <v>339</v>
      </c>
      <c r="F115" s="59">
        <v>374</v>
      </c>
      <c r="G115" s="59">
        <v>367</v>
      </c>
      <c r="H115" s="59">
        <v>359</v>
      </c>
      <c r="I115" s="59">
        <v>349</v>
      </c>
      <c r="J115" s="59">
        <v>328</v>
      </c>
      <c r="K115" s="59">
        <v>325</v>
      </c>
      <c r="L115" s="59">
        <v>344</v>
      </c>
    </row>
    <row r="116" spans="2:12" x14ac:dyDescent="0.2">
      <c r="B116" s="58" t="s">
        <v>22</v>
      </c>
      <c r="C116" s="59">
        <v>420</v>
      </c>
      <c r="D116" s="59">
        <v>349</v>
      </c>
      <c r="E116" s="59">
        <v>270</v>
      </c>
      <c r="F116" s="59">
        <v>215</v>
      </c>
      <c r="G116" s="59">
        <v>142</v>
      </c>
      <c r="H116" s="59">
        <v>109</v>
      </c>
      <c r="I116" s="59">
        <v>81</v>
      </c>
      <c r="J116" s="59">
        <v>56</v>
      </c>
      <c r="K116" s="59">
        <v>36</v>
      </c>
      <c r="L116" s="59">
        <v>23</v>
      </c>
    </row>
    <row r="117" spans="2:12" x14ac:dyDescent="0.2">
      <c r="B117" s="58" t="s">
        <v>23</v>
      </c>
      <c r="C117" s="59">
        <v>1021</v>
      </c>
      <c r="D117" s="59">
        <v>976</v>
      </c>
      <c r="E117" s="59">
        <v>831</v>
      </c>
      <c r="F117" s="59">
        <v>779</v>
      </c>
      <c r="G117" s="59">
        <v>757</v>
      </c>
      <c r="H117" s="59">
        <v>779</v>
      </c>
      <c r="I117" s="59">
        <v>809</v>
      </c>
      <c r="J117" s="59">
        <v>831</v>
      </c>
      <c r="K117" s="59">
        <v>848</v>
      </c>
      <c r="L117" s="59">
        <v>856</v>
      </c>
    </row>
    <row r="118" spans="2:12" x14ac:dyDescent="0.2">
      <c r="B118" s="58" t="s">
        <v>24</v>
      </c>
      <c r="C118" s="59">
        <v>951</v>
      </c>
      <c r="D118" s="59">
        <v>884</v>
      </c>
      <c r="E118" s="59">
        <v>813</v>
      </c>
      <c r="F118" s="59">
        <v>805</v>
      </c>
      <c r="G118" s="59">
        <v>827</v>
      </c>
      <c r="H118" s="59">
        <v>811</v>
      </c>
      <c r="I118" s="59">
        <v>855</v>
      </c>
      <c r="J118" s="59">
        <v>783</v>
      </c>
      <c r="K118" s="59">
        <v>720</v>
      </c>
      <c r="L118" s="59">
        <v>660</v>
      </c>
    </row>
    <row r="119" spans="2:12" x14ac:dyDescent="0.2">
      <c r="B119" s="58" t="s">
        <v>25</v>
      </c>
      <c r="C119" s="59">
        <v>745</v>
      </c>
      <c r="D119" s="59">
        <v>667</v>
      </c>
      <c r="E119" s="59">
        <v>620</v>
      </c>
      <c r="F119" s="59">
        <v>676</v>
      </c>
      <c r="G119" s="59">
        <v>824</v>
      </c>
      <c r="H119" s="59">
        <v>954</v>
      </c>
      <c r="I119" s="59">
        <v>1120</v>
      </c>
      <c r="J119" s="59">
        <v>1122</v>
      </c>
      <c r="K119" s="59">
        <v>1144</v>
      </c>
      <c r="L119" s="59">
        <v>1158</v>
      </c>
    </row>
    <row r="120" spans="2:12" x14ac:dyDescent="0.2">
      <c r="B120" s="61" t="s">
        <v>26</v>
      </c>
      <c r="C120" s="62">
        <v>1873</v>
      </c>
      <c r="D120" s="62">
        <v>1840</v>
      </c>
      <c r="E120" s="62">
        <v>1634</v>
      </c>
      <c r="F120" s="62">
        <v>1642</v>
      </c>
      <c r="G120" s="62">
        <v>1681</v>
      </c>
      <c r="H120" s="62">
        <v>1796</v>
      </c>
      <c r="I120" s="62">
        <v>1963</v>
      </c>
      <c r="J120" s="62">
        <v>2156</v>
      </c>
      <c r="K120" s="62">
        <v>2205</v>
      </c>
      <c r="L120" s="62">
        <v>2203</v>
      </c>
    </row>
    <row r="121" spans="2:12" x14ac:dyDescent="0.2">
      <c r="B121" s="20" t="s">
        <v>27</v>
      </c>
      <c r="C121" s="21">
        <f>SUBTOTAL(109,'Graduate Ethnicity Trend'!$C$107:$C$120)</f>
        <v>13801</v>
      </c>
      <c r="D121" s="21">
        <f>SUBTOTAL(109,'Graduate Ethnicity Trend'!$D$107:$D$120)</f>
        <v>12273</v>
      </c>
      <c r="E121" s="21">
        <f>SUBTOTAL(109,'Graduate Ethnicity Trend'!$E$107:$E$120)</f>
        <v>11315</v>
      </c>
      <c r="F121" s="21">
        <f>SUBTOTAL(109,'Graduate Ethnicity Trend'!$F$107:$F$120)</f>
        <v>10861</v>
      </c>
      <c r="G121" s="21">
        <f>SUBTOTAL(109,'Graduate Ethnicity Trend'!$G$107:$G$120)</f>
        <v>10949</v>
      </c>
      <c r="H121" s="21">
        <f>SUBTOTAL(109,'Graduate Ethnicity Trend'!$H$107:$H$120)</f>
        <v>11324</v>
      </c>
      <c r="I121" s="21">
        <f>SUBTOTAL(109,'Graduate Ethnicity Trend'!$I$107:$I$120)</f>
        <v>11901</v>
      </c>
      <c r="J121" s="21">
        <f>SUBTOTAL(109,'Graduate Ethnicity Trend'!$J$107:$J$120)</f>
        <v>11929</v>
      </c>
      <c r="K121" s="21">
        <f>SUBTOTAL(109,'Graduate Ethnicity Trend'!$K$107:$K$120)</f>
        <v>12076</v>
      </c>
      <c r="L121" s="21">
        <f>SUBTOTAL(109,'Graduate Ethnicity Trend'!$L$107:$L$120)</f>
        <v>12050</v>
      </c>
    </row>
    <row r="124" spans="2:12" ht="15" x14ac:dyDescent="0.2">
      <c r="B124" s="127" t="s">
        <v>73</v>
      </c>
      <c r="C124" s="127"/>
      <c r="D124" s="127"/>
      <c r="E124" s="127"/>
      <c r="F124" s="127"/>
      <c r="G124" s="127"/>
      <c r="H124" s="127"/>
      <c r="I124" s="127"/>
      <c r="J124" s="127"/>
      <c r="K124" s="127"/>
      <c r="L124" s="127"/>
    </row>
    <row r="125" spans="2:12" ht="30.95" customHeight="1" x14ac:dyDescent="0.2">
      <c r="B125" s="52" t="s">
        <v>1</v>
      </c>
      <c r="C125" s="52" t="str">
        <f>CONCATENATE(IF(RIGHT(Parameters!B1,1) = "1","Fall ", "Spring "),IF(RIGHT(Parameters!B1,1) = "1",LEFT(Parameters!B1,4) -9, LEFT(Parameters!B1,4) - 8))</f>
        <v>Fall 2010</v>
      </c>
      <c r="D125" s="52" t="str">
        <f>CONCATENATE(IF(RIGHT(Parameters!B1,1) = "1","Fall ", "Spring "),IF(RIGHT(Parameters!B1,1) = "1",LEFT(Parameters!B1,4) -8, LEFT(Parameters!B1,4) - 7))</f>
        <v>Fall 2011</v>
      </c>
      <c r="E125" s="52" t="str">
        <f>CONCATENATE(IF(RIGHT(Parameters!B1,1) = "1","Fall ", "Spring "),IF(RIGHT(Parameters!B1,1) = "1",LEFT(Parameters!B1,4) -7, LEFT(Parameters!B1,4) - 6))</f>
        <v>Fall 2012</v>
      </c>
      <c r="F125" s="52" t="str">
        <f>CONCATENATE(IF(RIGHT(Parameters!B1,1) = "1","Fall ", "Spring "),IF(RIGHT(Parameters!B1,1) = "1",LEFT(Parameters!B1,4) -6, LEFT(Parameters!B1,4) - 5))</f>
        <v>Fall 2013</v>
      </c>
      <c r="G125" s="52" t="str">
        <f>CONCATENATE(IF(RIGHT(Parameters!B1,1) = "1","Fall ", "Spring "),IF(RIGHT(Parameters!B1,1) = "1",LEFT(Parameters!B1,4) -5, LEFT(Parameters!B1,4) - 4))</f>
        <v>Fall 2014</v>
      </c>
      <c r="H125" s="52" t="str">
        <f>CONCATENATE(IF(RIGHT(Parameters!B1,1) = "1","Fall ", "Spring "),IF(RIGHT(Parameters!B1,1) = "1",LEFT(Parameters!B1,4) -4, LEFT(Parameters!B1,4) - 3))</f>
        <v>Fall 2015</v>
      </c>
      <c r="I125" s="52" t="str">
        <f>CONCATENATE(IF(RIGHT(Parameters!B1,1) = "1","Fall ", "Spring "),IF(RIGHT(Parameters!B1,1) = "1",LEFT(Parameters!B1,4) -3, LEFT(Parameters!B1,4) - 2))</f>
        <v>Fall 2016</v>
      </c>
      <c r="J125" s="52" t="str">
        <f>CONCATENATE(IF(RIGHT(Parameters!B1,1) = "1","Fall ", "Spring "),IF(RIGHT(Parameters!B1,1) = "1",LEFT(Parameters!B1,4) -2, LEFT(Parameters!B1,4) - 1))</f>
        <v>Fall 2017</v>
      </c>
      <c r="K125" s="52" t="str">
        <f>CONCATENATE(IF(RIGHT(Parameters!B1,1) = "1","Fall ", "Spring "),IF(RIGHT(Parameters!B1,1) = "1",LEFT(Parameters!B1,4) -1, LEFT(Parameters!B1,4) ))</f>
        <v>Fall 2018</v>
      </c>
      <c r="L125" s="52" t="str">
        <f>CONCATENATE(IF(RIGHT(Parameters!B1,1) = "1","Fall ", "Spring "),IF(RIGHT(Parameters!B1,1) = "1",LEFT(Parameters!B1,4), LEFT(Parameters!B1,4) + 1))</f>
        <v>Fall 2019</v>
      </c>
    </row>
    <row r="126" spans="2:12" ht="16.5" hidden="1" customHeight="1" x14ac:dyDescent="0.2">
      <c r="B126" s="26" t="s">
        <v>2</v>
      </c>
      <c r="C126" s="26" t="s">
        <v>3</v>
      </c>
      <c r="D126" s="26" t="s">
        <v>4</v>
      </c>
      <c r="E126" s="26" t="s">
        <v>5</v>
      </c>
      <c r="F126" s="26" t="s">
        <v>6</v>
      </c>
      <c r="G126" s="26" t="s">
        <v>7</v>
      </c>
      <c r="H126" s="26" t="s">
        <v>8</v>
      </c>
      <c r="I126" s="26" t="s">
        <v>9</v>
      </c>
      <c r="J126" s="26" t="s">
        <v>10</v>
      </c>
      <c r="K126" s="26" t="s">
        <v>11</v>
      </c>
      <c r="L126" s="26" t="s">
        <v>12</v>
      </c>
    </row>
    <row r="127" spans="2:12" x14ac:dyDescent="0.2">
      <c r="B127" s="56" t="s">
        <v>13</v>
      </c>
      <c r="C127" s="57">
        <v>7</v>
      </c>
      <c r="D127" s="57">
        <v>5</v>
      </c>
      <c r="E127" s="57">
        <v>3</v>
      </c>
      <c r="F127" s="57">
        <v>4</v>
      </c>
      <c r="G127" s="57">
        <v>8</v>
      </c>
      <c r="H127" s="57">
        <v>12</v>
      </c>
      <c r="I127" s="57">
        <v>13</v>
      </c>
      <c r="J127" s="57">
        <v>10</v>
      </c>
      <c r="K127" s="57">
        <v>13</v>
      </c>
      <c r="L127" s="57">
        <v>20</v>
      </c>
    </row>
    <row r="128" spans="2:12" x14ac:dyDescent="0.2">
      <c r="B128" s="58" t="s">
        <v>14</v>
      </c>
      <c r="C128" s="59">
        <v>0</v>
      </c>
      <c r="D128" s="59">
        <v>22</v>
      </c>
      <c r="E128" s="59">
        <v>28</v>
      </c>
      <c r="F128" s="59">
        <v>27</v>
      </c>
      <c r="G128" s="59">
        <v>37</v>
      </c>
      <c r="H128" s="59">
        <v>51</v>
      </c>
      <c r="I128" s="59">
        <v>42</v>
      </c>
      <c r="J128" s="59">
        <v>49</v>
      </c>
      <c r="K128" s="59">
        <v>42</v>
      </c>
      <c r="L128" s="59">
        <v>41</v>
      </c>
    </row>
    <row r="129" spans="2:12" x14ac:dyDescent="0.2">
      <c r="B129" s="58" t="s">
        <v>15</v>
      </c>
      <c r="C129" s="59">
        <v>0</v>
      </c>
      <c r="D129" s="59">
        <v>0</v>
      </c>
      <c r="E129" s="59">
        <v>0</v>
      </c>
      <c r="F129" s="59">
        <v>1</v>
      </c>
      <c r="G129" s="59">
        <v>1</v>
      </c>
      <c r="H129" s="59">
        <v>0</v>
      </c>
      <c r="I129" s="59">
        <v>0</v>
      </c>
      <c r="J129" s="59">
        <v>2</v>
      </c>
      <c r="K129" s="59">
        <v>0</v>
      </c>
      <c r="L129" s="59">
        <v>0</v>
      </c>
    </row>
    <row r="130" spans="2:12" x14ac:dyDescent="0.2">
      <c r="B130" s="58" t="s">
        <v>16</v>
      </c>
      <c r="C130" s="59">
        <v>4</v>
      </c>
      <c r="D130" s="59">
        <v>7</v>
      </c>
      <c r="E130" s="59">
        <v>10</v>
      </c>
      <c r="F130" s="59">
        <v>9</v>
      </c>
      <c r="G130" s="59">
        <v>14</v>
      </c>
      <c r="H130" s="59">
        <v>12</v>
      </c>
      <c r="I130" s="59">
        <v>16</v>
      </c>
      <c r="J130" s="59">
        <v>16</v>
      </c>
      <c r="K130" s="59">
        <v>12</v>
      </c>
      <c r="L130" s="59">
        <v>11</v>
      </c>
    </row>
    <row r="131" spans="2:12" x14ac:dyDescent="0.2">
      <c r="B131" s="58" t="s">
        <v>17</v>
      </c>
      <c r="C131" s="59">
        <v>2</v>
      </c>
      <c r="D131" s="59">
        <v>1</v>
      </c>
      <c r="E131" s="59">
        <v>12</v>
      </c>
      <c r="F131" s="59">
        <v>14</v>
      </c>
      <c r="G131" s="59">
        <v>12</v>
      </c>
      <c r="H131" s="59">
        <v>18</v>
      </c>
      <c r="I131" s="59">
        <v>13</v>
      </c>
      <c r="J131" s="59">
        <v>17</v>
      </c>
      <c r="K131" s="59">
        <v>18</v>
      </c>
      <c r="L131" s="59">
        <v>23</v>
      </c>
    </row>
    <row r="132" spans="2:12" x14ac:dyDescent="0.2">
      <c r="B132" s="58" t="s">
        <v>18</v>
      </c>
      <c r="C132" s="59">
        <v>0</v>
      </c>
      <c r="D132" s="59">
        <v>0</v>
      </c>
      <c r="E132" s="59">
        <v>1</v>
      </c>
      <c r="F132" s="59">
        <v>4</v>
      </c>
      <c r="G132" s="59">
        <v>13</v>
      </c>
      <c r="H132" s="59">
        <v>24</v>
      </c>
      <c r="I132" s="59">
        <v>32</v>
      </c>
      <c r="J132" s="59">
        <v>18</v>
      </c>
      <c r="K132" s="59">
        <v>11</v>
      </c>
      <c r="L132" s="59">
        <v>0</v>
      </c>
    </row>
    <row r="133" spans="2:12" x14ac:dyDescent="0.2">
      <c r="B133" s="58" t="s">
        <v>19</v>
      </c>
      <c r="C133" s="59">
        <v>9</v>
      </c>
      <c r="D133" s="59">
        <v>17</v>
      </c>
      <c r="E133" s="59">
        <v>28</v>
      </c>
      <c r="F133" s="59">
        <v>25</v>
      </c>
      <c r="G133" s="59">
        <v>31</v>
      </c>
      <c r="H133" s="59">
        <v>35</v>
      </c>
      <c r="I133" s="59">
        <v>36</v>
      </c>
      <c r="J133" s="59">
        <v>39</v>
      </c>
      <c r="K133" s="59">
        <v>41</v>
      </c>
      <c r="L133" s="59">
        <v>40</v>
      </c>
    </row>
    <row r="134" spans="2:12" x14ac:dyDescent="0.2">
      <c r="B134" s="58" t="s">
        <v>20</v>
      </c>
      <c r="C134" s="59">
        <v>1</v>
      </c>
      <c r="D134" s="59">
        <v>4</v>
      </c>
      <c r="E134" s="59">
        <v>1</v>
      </c>
      <c r="F134" s="59">
        <v>1</v>
      </c>
      <c r="G134" s="59">
        <v>4</v>
      </c>
      <c r="H134" s="59">
        <v>5</v>
      </c>
      <c r="I134" s="59">
        <v>7</v>
      </c>
      <c r="J134" s="59">
        <v>16</v>
      </c>
      <c r="K134" s="59">
        <v>24</v>
      </c>
      <c r="L134" s="59">
        <v>29</v>
      </c>
    </row>
    <row r="135" spans="2:12" x14ac:dyDescent="0.2">
      <c r="B135" s="58" t="s">
        <v>21</v>
      </c>
      <c r="C135" s="59">
        <v>0</v>
      </c>
      <c r="D135" s="59">
        <v>0</v>
      </c>
      <c r="E135" s="59">
        <v>1</v>
      </c>
      <c r="F135" s="59">
        <v>3</v>
      </c>
      <c r="G135" s="59">
        <v>1</v>
      </c>
      <c r="H135" s="59">
        <v>4</v>
      </c>
      <c r="I135" s="59">
        <v>1</v>
      </c>
      <c r="J135" s="59">
        <v>2</v>
      </c>
      <c r="K135" s="59">
        <v>1</v>
      </c>
      <c r="L135" s="59">
        <v>8</v>
      </c>
    </row>
    <row r="136" spans="2:12" x14ac:dyDescent="0.2">
      <c r="B136" s="58" t="s">
        <v>22</v>
      </c>
      <c r="C136" s="59">
        <v>0</v>
      </c>
      <c r="D136" s="59">
        <v>0</v>
      </c>
      <c r="E136" s="59">
        <v>0</v>
      </c>
      <c r="F136" s="59">
        <v>0</v>
      </c>
      <c r="G136" s="59">
        <v>1</v>
      </c>
      <c r="H136" s="59">
        <v>1</v>
      </c>
      <c r="I136" s="59">
        <v>0</v>
      </c>
      <c r="J136" s="59">
        <v>0</v>
      </c>
      <c r="K136" s="59">
        <v>0</v>
      </c>
      <c r="L136" s="59">
        <v>0</v>
      </c>
    </row>
    <row r="137" spans="2:12" x14ac:dyDescent="0.2">
      <c r="B137" s="58" t="s">
        <v>23</v>
      </c>
      <c r="C137" s="59">
        <v>3</v>
      </c>
      <c r="D137" s="59">
        <v>3</v>
      </c>
      <c r="E137" s="59">
        <v>2</v>
      </c>
      <c r="F137" s="59">
        <v>1</v>
      </c>
      <c r="G137" s="59">
        <v>8</v>
      </c>
      <c r="H137" s="59">
        <v>9</v>
      </c>
      <c r="I137" s="59">
        <v>6</v>
      </c>
      <c r="J137" s="59">
        <v>6</v>
      </c>
      <c r="K137" s="59">
        <v>12</v>
      </c>
      <c r="L137" s="59">
        <v>18</v>
      </c>
    </row>
    <row r="138" spans="2:12" x14ac:dyDescent="0.2">
      <c r="B138" s="58" t="s">
        <v>24</v>
      </c>
      <c r="C138" s="59">
        <v>7</v>
      </c>
      <c r="D138" s="59">
        <v>14</v>
      </c>
      <c r="E138" s="59">
        <v>20</v>
      </c>
      <c r="F138" s="59">
        <v>11</v>
      </c>
      <c r="G138" s="59">
        <v>15</v>
      </c>
      <c r="H138" s="59">
        <v>20</v>
      </c>
      <c r="I138" s="59">
        <v>12</v>
      </c>
      <c r="J138" s="59">
        <v>13</v>
      </c>
      <c r="K138" s="59">
        <v>17</v>
      </c>
      <c r="L138" s="59">
        <v>13</v>
      </c>
    </row>
    <row r="139" spans="2:12" x14ac:dyDescent="0.2">
      <c r="B139" s="58" t="s">
        <v>25</v>
      </c>
      <c r="C139" s="59">
        <v>2</v>
      </c>
      <c r="D139" s="59">
        <v>5</v>
      </c>
      <c r="E139" s="59">
        <v>2</v>
      </c>
      <c r="F139" s="59">
        <v>4</v>
      </c>
      <c r="G139" s="59">
        <v>8</v>
      </c>
      <c r="H139" s="59">
        <v>10</v>
      </c>
      <c r="I139" s="59">
        <v>12</v>
      </c>
      <c r="J139" s="59">
        <v>16</v>
      </c>
      <c r="K139" s="59">
        <v>15</v>
      </c>
      <c r="L139" s="59">
        <v>23</v>
      </c>
    </row>
    <row r="140" spans="2:12" x14ac:dyDescent="0.2">
      <c r="B140" s="61" t="s">
        <v>26</v>
      </c>
      <c r="C140" s="62">
        <v>8</v>
      </c>
      <c r="D140" s="62">
        <v>21</v>
      </c>
      <c r="E140" s="62">
        <v>20</v>
      </c>
      <c r="F140" s="62">
        <v>28</v>
      </c>
      <c r="G140" s="62">
        <v>32</v>
      </c>
      <c r="H140" s="62">
        <v>37</v>
      </c>
      <c r="I140" s="62">
        <v>40</v>
      </c>
      <c r="J140" s="62">
        <v>53</v>
      </c>
      <c r="K140" s="62">
        <v>67</v>
      </c>
      <c r="L140" s="62">
        <v>71</v>
      </c>
    </row>
    <row r="141" spans="2:12" x14ac:dyDescent="0.2">
      <c r="B141" s="20" t="s">
        <v>27</v>
      </c>
      <c r="C141" s="21">
        <f>SUBTOTAL(109,'Graduate Ethnicity Trend'!$C$127:$C$140)</f>
        <v>43</v>
      </c>
      <c r="D141" s="21">
        <f>SUBTOTAL(109,'Graduate Ethnicity Trend'!$D$127:$D$140)</f>
        <v>99</v>
      </c>
      <c r="E141" s="21">
        <f>SUBTOTAL(109,'Graduate Ethnicity Trend'!$E$127:$E$140)</f>
        <v>128</v>
      </c>
      <c r="F141" s="21">
        <f>SUBTOTAL(109,'Graduate Ethnicity Trend'!$F$127:$F$140)</f>
        <v>132</v>
      </c>
      <c r="G141" s="21">
        <f>SUBTOTAL(109,'Graduate Ethnicity Trend'!$G$127:$G$140)</f>
        <v>185</v>
      </c>
      <c r="H141" s="21">
        <f>SUBTOTAL(109,'Graduate Ethnicity Trend'!$H$127:$H$140)</f>
        <v>238</v>
      </c>
      <c r="I141" s="21">
        <f>SUBTOTAL(109,'Graduate Ethnicity Trend'!$I$127:$I$140)</f>
        <v>230</v>
      </c>
      <c r="J141" s="21">
        <f>SUBTOTAL(109,'Graduate Ethnicity Trend'!$J$127:$J$140)</f>
        <v>257</v>
      </c>
      <c r="K141" s="21">
        <f>SUBTOTAL(109,'Graduate Ethnicity Trend'!$K$127:$K$140)</f>
        <v>273</v>
      </c>
      <c r="L141" s="21">
        <f>SUBTOTAL(109,'Graduate Ethnicity Trend'!$L$127:$L$140)</f>
        <v>297</v>
      </c>
    </row>
    <row r="144" spans="2:12" ht="15" x14ac:dyDescent="0.2">
      <c r="B144" s="127" t="s">
        <v>74</v>
      </c>
      <c r="C144" s="127"/>
      <c r="D144" s="127"/>
      <c r="E144" s="127"/>
      <c r="F144" s="127"/>
      <c r="G144" s="127"/>
      <c r="H144" s="127"/>
      <c r="I144" s="127"/>
      <c r="J144" s="127"/>
      <c r="K144" s="127"/>
      <c r="L144" s="127"/>
    </row>
    <row r="145" spans="2:12" ht="30.95" customHeight="1" x14ac:dyDescent="0.2">
      <c r="B145" s="52" t="s">
        <v>1</v>
      </c>
      <c r="C145" s="52" t="str">
        <f>CONCATENATE(IF(RIGHT(Parameters!B1,1) = "1","Fall ", "Spring "),IF(RIGHT(Parameters!B1,1) = "1",LEFT(Parameters!B1,4) -9, LEFT(Parameters!B1,4) - 8))</f>
        <v>Fall 2010</v>
      </c>
      <c r="D145" s="52" t="str">
        <f>CONCATENATE(IF(RIGHT(Parameters!B1,1) = "1","Fall ", "Spring "),IF(RIGHT(Parameters!B1,1) = "1",LEFT(Parameters!B1,4) -8, LEFT(Parameters!B1,4) - 7))</f>
        <v>Fall 2011</v>
      </c>
      <c r="E145" s="52" t="str">
        <f>CONCATENATE(IF(RIGHT(Parameters!B1,1) = "1","Fall ", "Spring "),IF(RIGHT(Parameters!B1,1) = "1",LEFT(Parameters!B1,4) -7, LEFT(Parameters!B1,4) - 6))</f>
        <v>Fall 2012</v>
      </c>
      <c r="F145" s="52" t="str">
        <f>CONCATENATE(IF(RIGHT(Parameters!B1,1) = "1","Fall ", "Spring "),IF(RIGHT(Parameters!B1,1) = "1",LEFT(Parameters!B1,4) -6, LEFT(Parameters!B1,4) - 5))</f>
        <v>Fall 2013</v>
      </c>
      <c r="G145" s="52" t="str">
        <f>CONCATENATE(IF(RIGHT(Parameters!B1,1) = "1","Fall ", "Spring "),IF(RIGHT(Parameters!B1,1) = "1",LEFT(Parameters!B1,4) -5, LEFT(Parameters!B1,4) - 4))</f>
        <v>Fall 2014</v>
      </c>
      <c r="H145" s="52" t="str">
        <f>CONCATENATE(IF(RIGHT(Parameters!B1,1) = "1","Fall ", "Spring "),IF(RIGHT(Parameters!B1,1) = "1",LEFT(Parameters!B1,4) -4, LEFT(Parameters!B1,4) - 3))</f>
        <v>Fall 2015</v>
      </c>
      <c r="I145" s="52" t="str">
        <f>CONCATENATE(IF(RIGHT(Parameters!B1,1) = "1","Fall ", "Spring "),IF(RIGHT(Parameters!B1,1) = "1",LEFT(Parameters!B1,4) -3, LEFT(Parameters!B1,4) - 2))</f>
        <v>Fall 2016</v>
      </c>
      <c r="J145" s="52" t="str">
        <f>CONCATENATE(IF(RIGHT(Parameters!B1,1) = "1","Fall ", "Spring "),IF(RIGHT(Parameters!B1,1) = "1",LEFT(Parameters!B1,4) -2, LEFT(Parameters!B1,4) - 1))</f>
        <v>Fall 2017</v>
      </c>
      <c r="K145" s="52" t="str">
        <f>CONCATENATE(IF(RIGHT(Parameters!B1,1) = "1","Fall ", "Spring "),IF(RIGHT(Parameters!B1,1) = "1",LEFT(Parameters!B1,4) -1, LEFT(Parameters!B1,4) ))</f>
        <v>Fall 2018</v>
      </c>
      <c r="L145" s="52" t="str">
        <f>CONCATENATE(IF(RIGHT(Parameters!B1,1) = "1","Fall ", "Spring "),IF(RIGHT(Parameters!B1,1) = "1",LEFT(Parameters!B1,4), LEFT(Parameters!B1,4) + 1))</f>
        <v>Fall 2019</v>
      </c>
    </row>
    <row r="146" spans="2:12" ht="16.5" hidden="1" customHeight="1" x14ac:dyDescent="0.2">
      <c r="B146" s="26" t="s">
        <v>2</v>
      </c>
      <c r="C146" s="26" t="s">
        <v>3</v>
      </c>
      <c r="D146" s="26" t="s">
        <v>4</v>
      </c>
      <c r="E146" s="26" t="s">
        <v>5</v>
      </c>
      <c r="F146" s="26" t="s">
        <v>6</v>
      </c>
      <c r="G146" s="26" t="s">
        <v>7</v>
      </c>
      <c r="H146" s="26" t="s">
        <v>8</v>
      </c>
      <c r="I146" s="26" t="s">
        <v>9</v>
      </c>
      <c r="J146" s="26" t="s">
        <v>10</v>
      </c>
      <c r="K146" s="26" t="s">
        <v>11</v>
      </c>
      <c r="L146" s="26" t="s">
        <v>12</v>
      </c>
    </row>
    <row r="147" spans="2:12" x14ac:dyDescent="0.2">
      <c r="B147" s="56" t="s">
        <v>13</v>
      </c>
      <c r="C147" s="57">
        <v>31</v>
      </c>
      <c r="D147" s="57">
        <v>24</v>
      </c>
      <c r="E147" s="57">
        <v>24</v>
      </c>
      <c r="F147" s="57">
        <v>22</v>
      </c>
      <c r="G147" s="57">
        <v>11</v>
      </c>
      <c r="H147" s="57">
        <v>8</v>
      </c>
      <c r="I147" s="57">
        <v>6</v>
      </c>
      <c r="J147" s="57">
        <v>5</v>
      </c>
      <c r="K147" s="57">
        <v>4</v>
      </c>
      <c r="L147" s="57">
        <v>7</v>
      </c>
    </row>
    <row r="148" spans="2:12" x14ac:dyDescent="0.2">
      <c r="B148" s="58" t="s">
        <v>14</v>
      </c>
      <c r="C148" s="59">
        <v>29</v>
      </c>
      <c r="D148" s="59">
        <v>16</v>
      </c>
      <c r="E148" s="59">
        <v>12</v>
      </c>
      <c r="F148" s="59">
        <v>16</v>
      </c>
      <c r="G148" s="59">
        <v>18</v>
      </c>
      <c r="H148" s="59">
        <v>29</v>
      </c>
      <c r="I148" s="59">
        <v>35</v>
      </c>
      <c r="J148" s="59">
        <v>22</v>
      </c>
      <c r="K148" s="59">
        <v>12</v>
      </c>
      <c r="L148" s="59">
        <v>6</v>
      </c>
    </row>
    <row r="149" spans="2:12" x14ac:dyDescent="0.2">
      <c r="B149" s="58" t="s">
        <v>15</v>
      </c>
      <c r="C149" s="59">
        <v>0</v>
      </c>
      <c r="D149" s="59">
        <v>2</v>
      </c>
      <c r="E149" s="59">
        <v>2</v>
      </c>
      <c r="F149" s="59">
        <v>0</v>
      </c>
      <c r="G149" s="59">
        <v>0</v>
      </c>
      <c r="H149" s="59">
        <v>1</v>
      </c>
      <c r="I149" s="59">
        <v>1</v>
      </c>
      <c r="J149" s="59">
        <v>0</v>
      </c>
      <c r="K149" s="59">
        <v>0</v>
      </c>
      <c r="L149" s="59">
        <v>0</v>
      </c>
    </row>
    <row r="150" spans="2:12" x14ac:dyDescent="0.2">
      <c r="B150" s="58" t="s">
        <v>16</v>
      </c>
      <c r="C150" s="59">
        <v>16</v>
      </c>
      <c r="D150" s="59">
        <v>16</v>
      </c>
      <c r="E150" s="59">
        <v>14</v>
      </c>
      <c r="F150" s="59">
        <v>10</v>
      </c>
      <c r="G150" s="59">
        <v>2</v>
      </c>
      <c r="H150" s="59">
        <v>5</v>
      </c>
      <c r="I150" s="59">
        <v>6</v>
      </c>
      <c r="J150" s="59">
        <v>4</v>
      </c>
      <c r="K150" s="59">
        <v>4</v>
      </c>
      <c r="L150" s="59">
        <v>2</v>
      </c>
    </row>
    <row r="151" spans="2:12" x14ac:dyDescent="0.2">
      <c r="B151" s="58" t="s">
        <v>17</v>
      </c>
      <c r="C151" s="59">
        <v>13</v>
      </c>
      <c r="D151" s="59">
        <v>11</v>
      </c>
      <c r="E151" s="59">
        <v>16</v>
      </c>
      <c r="F151" s="59">
        <v>31</v>
      </c>
      <c r="G151" s="59">
        <v>37</v>
      </c>
      <c r="H151" s="59">
        <v>42</v>
      </c>
      <c r="I151" s="59">
        <v>27</v>
      </c>
      <c r="J151" s="59">
        <v>33</v>
      </c>
      <c r="K151" s="59">
        <v>27</v>
      </c>
      <c r="L151" s="59">
        <v>29</v>
      </c>
    </row>
    <row r="152" spans="2:12" x14ac:dyDescent="0.2">
      <c r="B152" s="58" t="s">
        <v>18</v>
      </c>
      <c r="C152" s="59">
        <v>9</v>
      </c>
      <c r="D152" s="59">
        <v>8</v>
      </c>
      <c r="E152" s="59">
        <v>5</v>
      </c>
      <c r="F152" s="59">
        <v>8</v>
      </c>
      <c r="G152" s="59">
        <v>7</v>
      </c>
      <c r="H152" s="59">
        <v>9</v>
      </c>
      <c r="I152" s="59">
        <v>6</v>
      </c>
      <c r="J152" s="59">
        <v>6</v>
      </c>
      <c r="K152" s="59">
        <v>12</v>
      </c>
      <c r="L152" s="59">
        <v>9</v>
      </c>
    </row>
    <row r="153" spans="2:12" x14ac:dyDescent="0.2">
      <c r="B153" s="58" t="s">
        <v>19</v>
      </c>
      <c r="C153" s="59">
        <v>327</v>
      </c>
      <c r="D153" s="59">
        <v>292</v>
      </c>
      <c r="E153" s="59">
        <v>324</v>
      </c>
      <c r="F153" s="59">
        <v>415</v>
      </c>
      <c r="G153" s="59">
        <v>392</v>
      </c>
      <c r="H153" s="59">
        <v>483</v>
      </c>
      <c r="I153" s="59">
        <v>489</v>
      </c>
      <c r="J153" s="59">
        <v>428</v>
      </c>
      <c r="K153" s="59">
        <v>361</v>
      </c>
      <c r="L153" s="59">
        <v>353</v>
      </c>
    </row>
    <row r="154" spans="2:12" x14ac:dyDescent="0.2">
      <c r="B154" s="58" t="s">
        <v>20</v>
      </c>
      <c r="C154" s="59">
        <v>23</v>
      </c>
      <c r="D154" s="59">
        <v>15</v>
      </c>
      <c r="E154" s="59">
        <v>9</v>
      </c>
      <c r="F154" s="59">
        <v>14</v>
      </c>
      <c r="G154" s="59">
        <v>14</v>
      </c>
      <c r="H154" s="59">
        <v>11</v>
      </c>
      <c r="I154" s="59">
        <v>12</v>
      </c>
      <c r="J154" s="59">
        <v>13</v>
      </c>
      <c r="K154" s="59">
        <v>9</v>
      </c>
      <c r="L154" s="59">
        <v>10</v>
      </c>
    </row>
    <row r="155" spans="2:12" x14ac:dyDescent="0.2">
      <c r="B155" s="58" t="s">
        <v>21</v>
      </c>
      <c r="C155" s="59">
        <v>3</v>
      </c>
      <c r="D155" s="59">
        <v>0</v>
      </c>
      <c r="E155" s="59">
        <v>0</v>
      </c>
      <c r="F155" s="59">
        <v>1</v>
      </c>
      <c r="G155" s="59">
        <v>0</v>
      </c>
      <c r="H155" s="59">
        <v>0</v>
      </c>
      <c r="I155" s="59">
        <v>0</v>
      </c>
      <c r="J155" s="59">
        <v>0</v>
      </c>
      <c r="K155" s="59">
        <v>0</v>
      </c>
      <c r="L155" s="59">
        <v>0</v>
      </c>
    </row>
    <row r="156" spans="2:12" x14ac:dyDescent="0.2">
      <c r="B156" s="58" t="s">
        <v>22</v>
      </c>
      <c r="C156" s="59">
        <v>4</v>
      </c>
      <c r="D156" s="59">
        <v>1</v>
      </c>
      <c r="E156" s="59">
        <v>1</v>
      </c>
      <c r="F156" s="59">
        <v>3</v>
      </c>
      <c r="G156" s="59">
        <v>1</v>
      </c>
      <c r="H156" s="59">
        <v>0</v>
      </c>
      <c r="I156" s="59">
        <v>0</v>
      </c>
      <c r="J156" s="59">
        <v>0</v>
      </c>
      <c r="K156" s="59">
        <v>0</v>
      </c>
      <c r="L156" s="59">
        <v>0</v>
      </c>
    </row>
    <row r="157" spans="2:12" x14ac:dyDescent="0.2">
      <c r="B157" s="58" t="s">
        <v>23</v>
      </c>
      <c r="C157" s="59">
        <v>6</v>
      </c>
      <c r="D157" s="59">
        <v>3</v>
      </c>
      <c r="E157" s="59">
        <v>6</v>
      </c>
      <c r="F157" s="59">
        <v>4</v>
      </c>
      <c r="G157" s="59">
        <v>6</v>
      </c>
      <c r="H157" s="59">
        <v>7</v>
      </c>
      <c r="I157" s="59">
        <v>7</v>
      </c>
      <c r="J157" s="59">
        <v>13</v>
      </c>
      <c r="K157" s="59">
        <v>6</v>
      </c>
      <c r="L157" s="59">
        <v>4</v>
      </c>
    </row>
    <row r="158" spans="2:12" x14ac:dyDescent="0.2">
      <c r="B158" s="58" t="s">
        <v>24</v>
      </c>
      <c r="C158" s="59">
        <v>18</v>
      </c>
      <c r="D158" s="59">
        <v>16</v>
      </c>
      <c r="E158" s="59">
        <v>39</v>
      </c>
      <c r="F158" s="59">
        <v>46</v>
      </c>
      <c r="G158" s="59">
        <v>51</v>
      </c>
      <c r="H158" s="59">
        <v>67</v>
      </c>
      <c r="I158" s="59">
        <v>81</v>
      </c>
      <c r="J158" s="59">
        <v>67</v>
      </c>
      <c r="K158" s="59">
        <v>37</v>
      </c>
      <c r="L158" s="59">
        <v>20</v>
      </c>
    </row>
    <row r="159" spans="2:12" x14ac:dyDescent="0.2">
      <c r="B159" s="58" t="s">
        <v>25</v>
      </c>
      <c r="C159" s="59">
        <v>4</v>
      </c>
      <c r="D159" s="59">
        <v>5</v>
      </c>
      <c r="E159" s="59">
        <v>5</v>
      </c>
      <c r="F159" s="59">
        <v>5</v>
      </c>
      <c r="G159" s="59">
        <v>4</v>
      </c>
      <c r="H159" s="59">
        <v>5</v>
      </c>
      <c r="I159" s="59">
        <v>3</v>
      </c>
      <c r="J159" s="59">
        <v>3</v>
      </c>
      <c r="K159" s="59">
        <v>5</v>
      </c>
      <c r="L159" s="59">
        <v>3</v>
      </c>
    </row>
    <row r="160" spans="2:12" x14ac:dyDescent="0.2">
      <c r="B160" s="61" t="s">
        <v>26</v>
      </c>
      <c r="C160" s="62">
        <v>60</v>
      </c>
      <c r="D160" s="62">
        <v>47</v>
      </c>
      <c r="E160" s="62">
        <v>53</v>
      </c>
      <c r="F160" s="62">
        <v>63</v>
      </c>
      <c r="G160" s="62">
        <v>85</v>
      </c>
      <c r="H160" s="62">
        <v>84</v>
      </c>
      <c r="I160" s="62">
        <v>62</v>
      </c>
      <c r="J160" s="62">
        <v>56</v>
      </c>
      <c r="K160" s="62">
        <v>59</v>
      </c>
      <c r="L160" s="62">
        <v>52</v>
      </c>
    </row>
    <row r="161" spans="2:12" x14ac:dyDescent="0.2">
      <c r="B161" s="20" t="s">
        <v>27</v>
      </c>
      <c r="C161" s="21">
        <f>SUBTOTAL(109,'Graduate Ethnicity Trend'!$C$147:$C$160)</f>
        <v>543</v>
      </c>
      <c r="D161" s="21">
        <f>SUBTOTAL(109,'Graduate Ethnicity Trend'!$D$147:$D$160)</f>
        <v>456</v>
      </c>
      <c r="E161" s="21">
        <f>SUBTOTAL(109,'Graduate Ethnicity Trend'!$E$147:$E$160)</f>
        <v>510</v>
      </c>
      <c r="F161" s="21">
        <f>SUBTOTAL(109,'Graduate Ethnicity Trend'!$F$147:$F$160)</f>
        <v>638</v>
      </c>
      <c r="G161" s="21">
        <f>SUBTOTAL(109,'Graduate Ethnicity Trend'!$G$147:$G$160)</f>
        <v>628</v>
      </c>
      <c r="H161" s="21">
        <f>SUBTOTAL(109,'Graduate Ethnicity Trend'!$H$147:$H$160)</f>
        <v>751</v>
      </c>
      <c r="I161" s="21">
        <f>SUBTOTAL(109,'Graduate Ethnicity Trend'!$I$147:$I$160)</f>
        <v>735</v>
      </c>
      <c r="J161" s="21">
        <f>SUBTOTAL(109,'Graduate Ethnicity Trend'!$J$147:$J$160)</f>
        <v>650</v>
      </c>
      <c r="K161" s="21">
        <f>SUBTOTAL(109,'Graduate Ethnicity Trend'!$K$147:$K$160)</f>
        <v>536</v>
      </c>
      <c r="L161" s="21">
        <f>SUBTOTAL(109,'Graduate Ethnicity Trend'!$L$147:$L$160)</f>
        <v>495</v>
      </c>
    </row>
    <row r="164" spans="2:12" ht="15" x14ac:dyDescent="0.2">
      <c r="B164" s="127" t="s">
        <v>75</v>
      </c>
      <c r="C164" s="127"/>
      <c r="D164" s="127"/>
      <c r="E164" s="127"/>
      <c r="F164" s="127"/>
      <c r="G164" s="127"/>
      <c r="H164" s="127"/>
      <c r="I164" s="127"/>
      <c r="J164" s="127"/>
      <c r="K164" s="127"/>
      <c r="L164" s="127"/>
    </row>
    <row r="165" spans="2:12" ht="30.95" customHeight="1" x14ac:dyDescent="0.2">
      <c r="B165" s="52" t="s">
        <v>1</v>
      </c>
      <c r="C165" s="52" t="str">
        <f>CONCATENATE(IF(RIGHT(Parameters!B1,1) = "1","Fall ", "Spring "),IF(RIGHT(Parameters!B1,1) = "1",LEFT(Parameters!B1,4) -9, LEFT(Parameters!B1,4) - 8))</f>
        <v>Fall 2010</v>
      </c>
      <c r="D165" s="52" t="str">
        <f>CONCATENATE(IF(RIGHT(Parameters!B1,1) = "1","Fall ", "Spring "),IF(RIGHT(Parameters!B1,1) = "1",LEFT(Parameters!B1,4) -8, LEFT(Parameters!B1,4) - 7))</f>
        <v>Fall 2011</v>
      </c>
      <c r="E165" s="52" t="str">
        <f>CONCATENATE(IF(RIGHT(Parameters!B1,1) = "1","Fall ", "Spring "),IF(RIGHT(Parameters!B1,1) = "1",LEFT(Parameters!B1,4) -7, LEFT(Parameters!B1,4) - 6))</f>
        <v>Fall 2012</v>
      </c>
      <c r="F165" s="52" t="str">
        <f>CONCATENATE(IF(RIGHT(Parameters!B1,1) = "1","Fall ", "Spring "),IF(RIGHT(Parameters!B1,1) = "1",LEFT(Parameters!B1,4) -6, LEFT(Parameters!B1,4) - 5))</f>
        <v>Fall 2013</v>
      </c>
      <c r="G165" s="52" t="str">
        <f>CONCATENATE(IF(RIGHT(Parameters!B1,1) = "1","Fall ", "Spring "),IF(RIGHT(Parameters!B1,1) = "1",LEFT(Parameters!B1,4) -5, LEFT(Parameters!B1,4) - 4))</f>
        <v>Fall 2014</v>
      </c>
      <c r="H165" s="52" t="str">
        <f>CONCATENATE(IF(RIGHT(Parameters!B1,1) = "1","Fall ", "Spring "),IF(RIGHT(Parameters!B1,1) = "1",LEFT(Parameters!B1,4) -4, LEFT(Parameters!B1,4) - 3))</f>
        <v>Fall 2015</v>
      </c>
      <c r="I165" s="52" t="str">
        <f>CONCATENATE(IF(RIGHT(Parameters!B1,1) = "1","Fall ", "Spring "),IF(RIGHT(Parameters!B1,1) = "1",LEFT(Parameters!B1,4) -3, LEFT(Parameters!B1,4) - 2))</f>
        <v>Fall 2016</v>
      </c>
      <c r="J165" s="52" t="str">
        <f>CONCATENATE(IF(RIGHT(Parameters!B1,1) = "1","Fall ", "Spring "),IF(RIGHT(Parameters!B1,1) = "1",LEFT(Parameters!B1,4) -2, LEFT(Parameters!B1,4) - 1))</f>
        <v>Fall 2017</v>
      </c>
      <c r="K165" s="52" t="str">
        <f>CONCATENATE(IF(RIGHT(Parameters!B1,1) = "1","Fall ", "Spring "),IF(RIGHT(Parameters!B1,1) = "1",LEFT(Parameters!B1,4) -1, LEFT(Parameters!B1,4) ))</f>
        <v>Fall 2018</v>
      </c>
      <c r="L165" s="52" t="str">
        <f>CONCATENATE(IF(RIGHT(Parameters!B1,1) = "1","Fall ", "Spring "),IF(RIGHT(Parameters!B1,1) = "1",LEFT(Parameters!B1,4), LEFT(Parameters!B1,4) + 1))</f>
        <v>Fall 2019</v>
      </c>
    </row>
    <row r="166" spans="2:12" ht="16.5" hidden="1" customHeight="1" x14ac:dyDescent="0.2">
      <c r="B166" s="26" t="s">
        <v>2</v>
      </c>
      <c r="C166" s="26" t="s">
        <v>3</v>
      </c>
      <c r="D166" s="26" t="s">
        <v>4</v>
      </c>
      <c r="E166" s="26" t="s">
        <v>5</v>
      </c>
      <c r="F166" s="26" t="s">
        <v>6</v>
      </c>
      <c r="G166" s="26" t="s">
        <v>7</v>
      </c>
      <c r="H166" s="26" t="s">
        <v>8</v>
      </c>
      <c r="I166" s="26" t="s">
        <v>9</v>
      </c>
      <c r="J166" s="26" t="s">
        <v>10</v>
      </c>
      <c r="K166" s="26" t="s">
        <v>11</v>
      </c>
      <c r="L166" s="26" t="s">
        <v>12</v>
      </c>
    </row>
    <row r="167" spans="2:12" x14ac:dyDescent="0.2">
      <c r="B167" s="56" t="s">
        <v>13</v>
      </c>
      <c r="C167" s="57">
        <v>6</v>
      </c>
      <c r="D167" s="57">
        <v>18</v>
      </c>
      <c r="E167" s="57">
        <v>18</v>
      </c>
      <c r="F167" s="57">
        <v>23</v>
      </c>
      <c r="G167" s="57">
        <v>25</v>
      </c>
      <c r="H167" s="57">
        <v>10</v>
      </c>
      <c r="I167" s="57">
        <v>11</v>
      </c>
      <c r="J167" s="57">
        <v>10</v>
      </c>
      <c r="K167" s="57">
        <v>6</v>
      </c>
      <c r="L167" s="57">
        <v>4</v>
      </c>
    </row>
    <row r="168" spans="2:12" x14ac:dyDescent="0.2">
      <c r="B168" s="58" t="s">
        <v>14</v>
      </c>
      <c r="C168" s="59">
        <v>162</v>
      </c>
      <c r="D168" s="59">
        <v>589</v>
      </c>
      <c r="E168" s="59">
        <v>229</v>
      </c>
      <c r="F168" s="59">
        <v>142</v>
      </c>
      <c r="G168" s="59">
        <v>80</v>
      </c>
      <c r="H168" s="59">
        <v>91</v>
      </c>
      <c r="I168" s="59">
        <v>80</v>
      </c>
      <c r="J168" s="59">
        <v>335</v>
      </c>
      <c r="K168" s="59">
        <v>195</v>
      </c>
      <c r="L168" s="59">
        <v>126</v>
      </c>
    </row>
    <row r="169" spans="2:12" x14ac:dyDescent="0.2">
      <c r="B169" s="58" t="s">
        <v>15</v>
      </c>
      <c r="C169" s="59">
        <v>7</v>
      </c>
      <c r="D169" s="59">
        <v>2</v>
      </c>
      <c r="E169" s="59">
        <v>3</v>
      </c>
      <c r="F169" s="59">
        <v>2</v>
      </c>
      <c r="G169" s="59">
        <v>0</v>
      </c>
      <c r="H169" s="59">
        <v>2</v>
      </c>
      <c r="I169" s="59">
        <v>3</v>
      </c>
      <c r="J169" s="59">
        <v>13</v>
      </c>
      <c r="K169" s="59">
        <v>0</v>
      </c>
      <c r="L169" s="59">
        <v>0</v>
      </c>
    </row>
    <row r="170" spans="2:12" x14ac:dyDescent="0.2">
      <c r="B170" s="58" t="s">
        <v>16</v>
      </c>
      <c r="C170" s="59">
        <v>83</v>
      </c>
      <c r="D170" s="59">
        <v>155</v>
      </c>
      <c r="E170" s="59">
        <v>119</v>
      </c>
      <c r="F170" s="59">
        <v>82</v>
      </c>
      <c r="G170" s="59">
        <v>56</v>
      </c>
      <c r="H170" s="59">
        <v>38</v>
      </c>
      <c r="I170" s="59">
        <v>34</v>
      </c>
      <c r="J170" s="59">
        <v>30</v>
      </c>
      <c r="K170" s="59">
        <v>28</v>
      </c>
      <c r="L170" s="59">
        <v>41</v>
      </c>
    </row>
    <row r="171" spans="2:12" x14ac:dyDescent="0.2">
      <c r="B171" s="58" t="s">
        <v>17</v>
      </c>
      <c r="C171" s="59">
        <v>75</v>
      </c>
      <c r="D171" s="59">
        <v>60</v>
      </c>
      <c r="E171" s="59">
        <v>34</v>
      </c>
      <c r="F171" s="59">
        <v>22</v>
      </c>
      <c r="G171" s="59">
        <v>34</v>
      </c>
      <c r="H171" s="59">
        <v>21</v>
      </c>
      <c r="I171" s="59">
        <v>19</v>
      </c>
      <c r="J171" s="59">
        <v>14</v>
      </c>
      <c r="K171" s="59">
        <v>7</v>
      </c>
      <c r="L171" s="59">
        <v>19</v>
      </c>
    </row>
    <row r="172" spans="2:12" x14ac:dyDescent="0.2">
      <c r="B172" s="58" t="s">
        <v>18</v>
      </c>
      <c r="C172" s="59">
        <v>19</v>
      </c>
      <c r="D172" s="59">
        <v>11</v>
      </c>
      <c r="E172" s="59">
        <v>20</v>
      </c>
      <c r="F172" s="59">
        <v>16</v>
      </c>
      <c r="G172" s="59">
        <v>17</v>
      </c>
      <c r="H172" s="59">
        <v>27</v>
      </c>
      <c r="I172" s="59">
        <v>41</v>
      </c>
      <c r="J172" s="59">
        <v>34</v>
      </c>
      <c r="K172" s="59">
        <v>34</v>
      </c>
      <c r="L172" s="59">
        <v>40</v>
      </c>
    </row>
    <row r="173" spans="2:12" x14ac:dyDescent="0.2">
      <c r="B173" s="58" t="s">
        <v>19</v>
      </c>
      <c r="C173" s="59">
        <v>213</v>
      </c>
      <c r="D173" s="59">
        <v>174</v>
      </c>
      <c r="E173" s="59">
        <v>150</v>
      </c>
      <c r="F173" s="59">
        <v>119</v>
      </c>
      <c r="G173" s="59">
        <v>90</v>
      </c>
      <c r="H173" s="59">
        <v>75</v>
      </c>
      <c r="I173" s="59">
        <v>69</v>
      </c>
      <c r="J173" s="59">
        <v>58</v>
      </c>
      <c r="K173" s="59">
        <v>52</v>
      </c>
      <c r="L173" s="59">
        <v>42</v>
      </c>
    </row>
    <row r="174" spans="2:12" x14ac:dyDescent="0.2">
      <c r="B174" s="58" t="s">
        <v>20</v>
      </c>
      <c r="C174" s="59">
        <v>24</v>
      </c>
      <c r="D174" s="59">
        <v>32</v>
      </c>
      <c r="E174" s="59">
        <v>32</v>
      </c>
      <c r="F174" s="59">
        <v>38</v>
      </c>
      <c r="G174" s="59">
        <v>30</v>
      </c>
      <c r="H174" s="59">
        <v>42</v>
      </c>
      <c r="I174" s="59">
        <v>49</v>
      </c>
      <c r="J174" s="59">
        <v>36</v>
      </c>
      <c r="K174" s="59">
        <v>27</v>
      </c>
      <c r="L174" s="59">
        <v>30</v>
      </c>
    </row>
    <row r="175" spans="2:12" x14ac:dyDescent="0.2">
      <c r="B175" s="58" t="s">
        <v>21</v>
      </c>
      <c r="C175" s="59">
        <v>3</v>
      </c>
      <c r="D175" s="59">
        <v>4</v>
      </c>
      <c r="E175" s="59">
        <v>4</v>
      </c>
      <c r="F175" s="59">
        <v>2</v>
      </c>
      <c r="G175" s="59">
        <v>1</v>
      </c>
      <c r="H175" s="59">
        <v>0</v>
      </c>
      <c r="I175" s="59">
        <v>3</v>
      </c>
      <c r="J175" s="59">
        <v>3</v>
      </c>
      <c r="K175" s="59">
        <v>6</v>
      </c>
      <c r="L175" s="59">
        <v>14</v>
      </c>
    </row>
    <row r="176" spans="2:12" x14ac:dyDescent="0.2">
      <c r="B176" s="58" t="s">
        <v>22</v>
      </c>
      <c r="C176" s="59">
        <v>22</v>
      </c>
      <c r="D176" s="59">
        <v>23</v>
      </c>
      <c r="E176" s="59">
        <v>16</v>
      </c>
      <c r="F176" s="59">
        <v>14</v>
      </c>
      <c r="G176" s="59">
        <v>8</v>
      </c>
      <c r="H176" s="59">
        <v>3</v>
      </c>
      <c r="I176" s="59">
        <v>0</v>
      </c>
      <c r="J176" s="59">
        <v>1</v>
      </c>
      <c r="K176" s="59">
        <v>0</v>
      </c>
      <c r="L176" s="59">
        <v>0</v>
      </c>
    </row>
    <row r="177" spans="2:12" x14ac:dyDescent="0.2">
      <c r="B177" s="58" t="s">
        <v>23</v>
      </c>
      <c r="C177" s="59">
        <v>25</v>
      </c>
      <c r="D177" s="59">
        <v>17</v>
      </c>
      <c r="E177" s="59">
        <v>15</v>
      </c>
      <c r="F177" s="59">
        <v>10</v>
      </c>
      <c r="G177" s="59">
        <v>8</v>
      </c>
      <c r="H177" s="59">
        <v>10</v>
      </c>
      <c r="I177" s="59">
        <v>12</v>
      </c>
      <c r="J177" s="59">
        <v>13</v>
      </c>
      <c r="K177" s="59">
        <v>10</v>
      </c>
      <c r="L177" s="59">
        <v>8</v>
      </c>
    </row>
    <row r="178" spans="2:12" x14ac:dyDescent="0.2">
      <c r="B178" s="58" t="s">
        <v>24</v>
      </c>
      <c r="C178" s="59">
        <v>91</v>
      </c>
      <c r="D178" s="59">
        <v>61</v>
      </c>
      <c r="E178" s="59">
        <v>49</v>
      </c>
      <c r="F178" s="59">
        <v>49</v>
      </c>
      <c r="G178" s="59">
        <v>50</v>
      </c>
      <c r="H178" s="59">
        <v>26</v>
      </c>
      <c r="I178" s="59">
        <v>23</v>
      </c>
      <c r="J178" s="59">
        <v>19</v>
      </c>
      <c r="K178" s="59">
        <v>14</v>
      </c>
      <c r="L178" s="59">
        <v>12</v>
      </c>
    </row>
    <row r="179" spans="2:12" x14ac:dyDescent="0.2">
      <c r="B179" s="58" t="s">
        <v>25</v>
      </c>
      <c r="C179" s="59">
        <v>43</v>
      </c>
      <c r="D179" s="59">
        <v>47</v>
      </c>
      <c r="E179" s="59">
        <v>47</v>
      </c>
      <c r="F179" s="59">
        <v>35</v>
      </c>
      <c r="G179" s="59">
        <v>23</v>
      </c>
      <c r="H179" s="59">
        <v>22</v>
      </c>
      <c r="I179" s="59">
        <v>24</v>
      </c>
      <c r="J179" s="59">
        <v>40</v>
      </c>
      <c r="K179" s="59">
        <v>50</v>
      </c>
      <c r="L179" s="59">
        <v>65</v>
      </c>
    </row>
    <row r="180" spans="2:12" x14ac:dyDescent="0.2">
      <c r="B180" s="61" t="s">
        <v>26</v>
      </c>
      <c r="C180" s="62">
        <v>7</v>
      </c>
      <c r="D180" s="62">
        <v>12</v>
      </c>
      <c r="E180" s="62">
        <v>52</v>
      </c>
      <c r="F180" s="62">
        <v>18</v>
      </c>
      <c r="G180" s="62">
        <v>13</v>
      </c>
      <c r="H180" s="62">
        <v>9</v>
      </c>
      <c r="I180" s="62">
        <v>20</v>
      </c>
      <c r="J180" s="62">
        <v>19</v>
      </c>
      <c r="K180" s="62">
        <v>50</v>
      </c>
      <c r="L180" s="62">
        <v>49</v>
      </c>
    </row>
    <row r="181" spans="2:12" x14ac:dyDescent="0.2">
      <c r="B181" s="20" t="s">
        <v>27</v>
      </c>
      <c r="C181" s="21">
        <f>SUBTOTAL(109,'Graduate Ethnicity Trend'!$C$167:$C$180)</f>
        <v>780</v>
      </c>
      <c r="D181" s="21">
        <f>SUBTOTAL(109,'Graduate Ethnicity Trend'!$D$167:$D$180)</f>
        <v>1205</v>
      </c>
      <c r="E181" s="21">
        <f>SUBTOTAL(109,'Graduate Ethnicity Trend'!$E$167:$E$180)</f>
        <v>788</v>
      </c>
      <c r="F181" s="21">
        <f>SUBTOTAL(109,'Graduate Ethnicity Trend'!$F$167:$F$180)</f>
        <v>572</v>
      </c>
      <c r="G181" s="21">
        <f>SUBTOTAL(109,'Graduate Ethnicity Trend'!$G$167:$G$180)</f>
        <v>435</v>
      </c>
      <c r="H181" s="21">
        <f>SUBTOTAL(109,'Graduate Ethnicity Trend'!$H$167:$H$180)</f>
        <v>376</v>
      </c>
      <c r="I181" s="21">
        <f>SUBTOTAL(109,'Graduate Ethnicity Trend'!$I$167:$I$180)</f>
        <v>388</v>
      </c>
      <c r="J181" s="21">
        <f>SUBTOTAL(109,'Graduate Ethnicity Trend'!$J$167:$J$180)</f>
        <v>625</v>
      </c>
      <c r="K181" s="21">
        <f>SUBTOTAL(109,'Graduate Ethnicity Trend'!$K$167:$K$180)</f>
        <v>479</v>
      </c>
      <c r="L181" s="21">
        <f>SUBTOTAL(109,'Graduate Ethnicity Trend'!$L$167:$L$180)</f>
        <v>450</v>
      </c>
    </row>
    <row r="183" spans="2:12" x14ac:dyDescent="0.2">
      <c r="B183" s="6" t="s">
        <v>29</v>
      </c>
      <c r="C183" s="60"/>
      <c r="D183" s="60"/>
      <c r="E183" s="60"/>
      <c r="F183" s="60"/>
      <c r="G183" s="60"/>
      <c r="H183" s="60"/>
      <c r="I183" s="60"/>
      <c r="J183" s="60"/>
      <c r="K183" s="60"/>
      <c r="L183" s="60"/>
    </row>
    <row r="184" spans="2:12" x14ac:dyDescent="0.2">
      <c r="B184" s="9" t="s">
        <v>30</v>
      </c>
      <c r="C184" s="60"/>
      <c r="D184" s="60"/>
      <c r="E184" s="60"/>
      <c r="F184" s="60"/>
      <c r="G184" s="60"/>
      <c r="H184" s="60"/>
      <c r="I184" s="60"/>
      <c r="J184" s="60"/>
      <c r="K184" s="60"/>
      <c r="L184" s="60"/>
    </row>
    <row r="185" spans="2:12" x14ac:dyDescent="0.2">
      <c r="B185" s="9" t="s">
        <v>31</v>
      </c>
      <c r="C185" s="60"/>
      <c r="D185" s="60"/>
      <c r="E185" s="60"/>
      <c r="F185" s="60"/>
      <c r="G185" s="60"/>
      <c r="H185" s="60"/>
      <c r="I185" s="60"/>
      <c r="J185" s="60"/>
      <c r="K185" s="60"/>
      <c r="L185" s="60"/>
    </row>
  </sheetData>
  <mergeCells count="11">
    <mergeCell ref="B84:L84"/>
    <mergeCell ref="B104:L104"/>
    <mergeCell ref="B124:L124"/>
    <mergeCell ref="B144:L144"/>
    <mergeCell ref="B164:L164"/>
    <mergeCell ref="B64:L64"/>
    <mergeCell ref="B1:L1"/>
    <mergeCell ref="B2:L2"/>
    <mergeCell ref="B4:L4"/>
    <mergeCell ref="B24:L24"/>
    <mergeCell ref="B44:L44"/>
  </mergeCells>
  <printOptions horizontalCentered="1"/>
  <pageMargins left="0.5" right="0.5" top="1" bottom="0.5" header="0.3" footer="0.3"/>
  <pageSetup scale="70" fitToHeight="0" orientation="landscape" r:id="rId1"/>
  <headerFooter>
    <oddHeader>&amp;L&amp;"Arial,Regular"&amp;10Pennsylvania's State System of Higher Education | &amp;D
Office of Educational Intelligence | Page &amp;P of &amp;N</oddHeader>
  </headerFooter>
  <rowBreaks count="4" manualBreakCount="4">
    <brk id="42" min="1" max="11" man="1"/>
    <brk id="82" min="1" max="11" man="1"/>
    <brk id="122" min="1" max="11" man="1"/>
    <brk id="162" min="1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L24"/>
  <sheetViews>
    <sheetView zoomScaleNormal="100" workbookViewId="0">
      <selection activeCell="B24" sqref="B24"/>
    </sheetView>
  </sheetViews>
  <sheetFormatPr defaultColWidth="8.85546875" defaultRowHeight="14.25" x14ac:dyDescent="0.2"/>
  <cols>
    <col min="1" max="1" width="8.85546875" style="5"/>
    <col min="2" max="2" width="23.5703125" style="5" customWidth="1"/>
    <col min="3" max="12" width="15.7109375" style="5" customWidth="1"/>
    <col min="13" max="16384" width="8.85546875" style="5"/>
  </cols>
  <sheetData>
    <row r="1" spans="2:12" ht="15" x14ac:dyDescent="0.2">
      <c r="B1" s="126" t="s">
        <v>0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spans="2:12" ht="15" x14ac:dyDescent="0.2">
      <c r="B2" s="126" t="s">
        <v>78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</row>
    <row r="3" spans="2:12" ht="15" x14ac:dyDescent="0.2">
      <c r="B3" s="127" t="s">
        <v>79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</row>
    <row r="4" spans="2:12" ht="30.95" customHeight="1" x14ac:dyDescent="0.2">
      <c r="B4" s="52" t="s">
        <v>1</v>
      </c>
      <c r="C4" s="52" t="str">
        <f>CONCATENATE(IF(RIGHT(Parameters!B1,1) = "1","Fall ", "Spring "),IF(RIGHT(Parameters!B1,1) = "1",LEFT(Parameters!B1,4) -9, LEFT(Parameters!B1,4) - 8))</f>
        <v>Fall 2010</v>
      </c>
      <c r="D4" s="52" t="str">
        <f>CONCATENATE(IF(RIGHT(Parameters!B1,1) = "1","Fall ", "Spring "),IF(RIGHT(Parameters!B1,1) = "1",LEFT(Parameters!B1,4) -8, LEFT(Parameters!B1,4) - 7))</f>
        <v>Fall 2011</v>
      </c>
      <c r="E4" s="52" t="str">
        <f>CONCATENATE(IF(RIGHT(Parameters!B1,1) = "1","Fall ", "Spring "),IF(RIGHT(Parameters!B1,1) = "1",LEFT(Parameters!B1,4) -7, LEFT(Parameters!B1,4) - 6))</f>
        <v>Fall 2012</v>
      </c>
      <c r="F4" s="52" t="str">
        <f>CONCATENATE(IF(RIGHT(Parameters!B1,1) = "1","Fall ", "Spring "),IF(RIGHT(Parameters!B1,1) = "1",LEFT(Parameters!B1,4) -6, LEFT(Parameters!B1,4) - 5))</f>
        <v>Fall 2013</v>
      </c>
      <c r="G4" s="52" t="str">
        <f>CONCATENATE(IF(RIGHT(Parameters!B1,1) = "1","Fall ", "Spring "),IF(RIGHT(Parameters!B1,1) = "1",LEFT(Parameters!B1,4) -5, LEFT(Parameters!B1,4) - 4))</f>
        <v>Fall 2014</v>
      </c>
      <c r="H4" s="52" t="str">
        <f>CONCATENATE(IF(RIGHT(Parameters!B1,1) = "1","Fall ", "Spring "),IF(RIGHT(Parameters!B1,1) = "1",LEFT(Parameters!B1,4) -4, LEFT(Parameters!B1,4) - 3))</f>
        <v>Fall 2015</v>
      </c>
      <c r="I4" s="52" t="str">
        <f>CONCATENATE(IF(RIGHT(Parameters!B1,1) = "1","Fall ", "Spring "),IF(RIGHT(Parameters!B1,1) = "1",LEFT(Parameters!B1,4) -3, LEFT(Parameters!B1,4) - 2))</f>
        <v>Fall 2016</v>
      </c>
      <c r="J4" s="52" t="str">
        <f>CONCATENATE(IF(RIGHT(Parameters!B1,1) = "1","Fall ", "Spring "),IF(RIGHT(Parameters!B1,1) = "1",LEFT(Parameters!B1,4) -2, LEFT(Parameters!B1,4) - 1))</f>
        <v>Fall 2017</v>
      </c>
      <c r="K4" s="52" t="str">
        <f>CONCATENATE(IF(RIGHT(Parameters!B1,1) = "1","Fall ", "Spring "),IF(RIGHT(Parameters!B1,1) = "1",LEFT(Parameters!B1,4) -1, LEFT(Parameters!B1,4) ))</f>
        <v>Fall 2018</v>
      </c>
      <c r="L4" s="52" t="str">
        <f>CONCATENATE(IF(RIGHT(Parameters!B1,1) = "1","Fall ", "Spring "),IF(RIGHT(Parameters!B1,1) = "1",LEFT(Parameters!B1,4), LEFT(Parameters!B1,4) + 1))</f>
        <v>Fall 2019</v>
      </c>
    </row>
    <row r="5" spans="2:12" ht="16.5" hidden="1" customHeight="1" x14ac:dyDescent="0.2">
      <c r="B5" s="63" t="s">
        <v>2</v>
      </c>
      <c r="C5" s="63" t="s">
        <v>3</v>
      </c>
      <c r="D5" s="63" t="s">
        <v>4</v>
      </c>
      <c r="E5" s="63" t="s">
        <v>5</v>
      </c>
      <c r="F5" s="63" t="s">
        <v>6</v>
      </c>
      <c r="G5" s="63" t="s">
        <v>7</v>
      </c>
      <c r="H5" s="63" t="s">
        <v>8</v>
      </c>
      <c r="I5" s="63" t="s">
        <v>9</v>
      </c>
      <c r="J5" s="63" t="s">
        <v>10</v>
      </c>
      <c r="K5" s="63" t="s">
        <v>11</v>
      </c>
      <c r="L5" s="63" t="s">
        <v>12</v>
      </c>
    </row>
    <row r="6" spans="2:12" x14ac:dyDescent="0.2">
      <c r="B6" s="56" t="s">
        <v>13</v>
      </c>
      <c r="C6" s="57">
        <v>99</v>
      </c>
      <c r="D6" s="57">
        <v>90</v>
      </c>
      <c r="E6" s="57">
        <v>78</v>
      </c>
      <c r="F6" s="57">
        <v>88</v>
      </c>
      <c r="G6" s="57">
        <v>100</v>
      </c>
      <c r="H6" s="57">
        <v>97</v>
      </c>
      <c r="I6" s="57">
        <v>104</v>
      </c>
      <c r="J6" s="57">
        <v>106</v>
      </c>
      <c r="K6" s="57">
        <v>97</v>
      </c>
      <c r="L6" s="57">
        <v>92</v>
      </c>
    </row>
    <row r="7" spans="2:12" x14ac:dyDescent="0.2">
      <c r="B7" s="58" t="s">
        <v>14</v>
      </c>
      <c r="C7" s="59">
        <v>37</v>
      </c>
      <c r="D7" s="59">
        <v>28</v>
      </c>
      <c r="E7" s="59">
        <v>31</v>
      </c>
      <c r="F7" s="59">
        <v>46</v>
      </c>
      <c r="G7" s="59">
        <v>43</v>
      </c>
      <c r="H7" s="59">
        <v>44</v>
      </c>
      <c r="I7" s="59">
        <v>51</v>
      </c>
      <c r="J7" s="59">
        <v>53</v>
      </c>
      <c r="K7" s="59">
        <v>62</v>
      </c>
      <c r="L7" s="59">
        <v>59</v>
      </c>
    </row>
    <row r="8" spans="2:12" x14ac:dyDescent="0.2">
      <c r="B8" s="58" t="s">
        <v>15</v>
      </c>
      <c r="C8" s="59">
        <v>0</v>
      </c>
      <c r="D8" s="59">
        <v>0</v>
      </c>
      <c r="E8" s="59">
        <v>0</v>
      </c>
      <c r="F8" s="59">
        <v>1</v>
      </c>
      <c r="G8" s="59">
        <v>1</v>
      </c>
      <c r="H8" s="59">
        <v>2</v>
      </c>
      <c r="I8" s="59">
        <v>0</v>
      </c>
      <c r="J8" s="59">
        <v>4</v>
      </c>
      <c r="K8" s="59">
        <v>2</v>
      </c>
      <c r="L8" s="59">
        <v>3</v>
      </c>
    </row>
    <row r="9" spans="2:12" x14ac:dyDescent="0.2">
      <c r="B9" s="58" t="s">
        <v>16</v>
      </c>
      <c r="C9" s="59">
        <v>32</v>
      </c>
      <c r="D9" s="59">
        <v>36</v>
      </c>
      <c r="E9" s="59">
        <v>24</v>
      </c>
      <c r="F9" s="59">
        <v>25</v>
      </c>
      <c r="G9" s="59">
        <v>31</v>
      </c>
      <c r="H9" s="59">
        <v>29</v>
      </c>
      <c r="I9" s="59">
        <v>29</v>
      </c>
      <c r="J9" s="59">
        <v>39</v>
      </c>
      <c r="K9" s="59">
        <v>41</v>
      </c>
      <c r="L9" s="59">
        <v>31</v>
      </c>
    </row>
    <row r="10" spans="2:12" x14ac:dyDescent="0.2">
      <c r="B10" s="58" t="s">
        <v>17</v>
      </c>
      <c r="C10" s="59">
        <v>90</v>
      </c>
      <c r="D10" s="59">
        <v>101</v>
      </c>
      <c r="E10" s="59">
        <v>95</v>
      </c>
      <c r="F10" s="59">
        <v>89</v>
      </c>
      <c r="G10" s="59">
        <v>103</v>
      </c>
      <c r="H10" s="59">
        <v>115</v>
      </c>
      <c r="I10" s="59">
        <v>115</v>
      </c>
      <c r="J10" s="59">
        <v>113</v>
      </c>
      <c r="K10" s="59">
        <v>96</v>
      </c>
      <c r="L10" s="59">
        <v>104</v>
      </c>
    </row>
    <row r="11" spans="2:12" x14ac:dyDescent="0.2">
      <c r="B11" s="58" t="s">
        <v>18</v>
      </c>
      <c r="C11" s="59">
        <v>52</v>
      </c>
      <c r="D11" s="59">
        <v>48</v>
      </c>
      <c r="E11" s="59">
        <v>50</v>
      </c>
      <c r="F11" s="59">
        <v>49</v>
      </c>
      <c r="G11" s="59">
        <v>50</v>
      </c>
      <c r="H11" s="59">
        <v>62</v>
      </c>
      <c r="I11" s="59">
        <v>64</v>
      </c>
      <c r="J11" s="59">
        <v>49</v>
      </c>
      <c r="K11" s="59">
        <v>35</v>
      </c>
      <c r="L11" s="59">
        <v>35</v>
      </c>
    </row>
    <row r="12" spans="2:12" x14ac:dyDescent="0.2">
      <c r="B12" s="58" t="s">
        <v>19</v>
      </c>
      <c r="C12" s="59">
        <v>130</v>
      </c>
      <c r="D12" s="59">
        <v>125</v>
      </c>
      <c r="E12" s="59">
        <v>123</v>
      </c>
      <c r="F12" s="59">
        <v>118</v>
      </c>
      <c r="G12" s="59">
        <v>113</v>
      </c>
      <c r="H12" s="59">
        <v>113</v>
      </c>
      <c r="I12" s="59">
        <v>116</v>
      </c>
      <c r="J12" s="59">
        <v>105</v>
      </c>
      <c r="K12" s="59">
        <v>105</v>
      </c>
      <c r="L12" s="59">
        <v>103</v>
      </c>
    </row>
    <row r="13" spans="2:12" x14ac:dyDescent="0.2">
      <c r="B13" s="58" t="s">
        <v>20</v>
      </c>
      <c r="C13" s="59">
        <v>107</v>
      </c>
      <c r="D13" s="59">
        <v>108</v>
      </c>
      <c r="E13" s="59">
        <v>119</v>
      </c>
      <c r="F13" s="59">
        <v>108</v>
      </c>
      <c r="G13" s="59">
        <v>90</v>
      </c>
      <c r="H13" s="59">
        <v>94</v>
      </c>
      <c r="I13" s="59">
        <v>83</v>
      </c>
      <c r="J13" s="59">
        <v>103</v>
      </c>
      <c r="K13" s="59">
        <v>125</v>
      </c>
      <c r="L13" s="59">
        <v>139</v>
      </c>
    </row>
    <row r="14" spans="2:12" x14ac:dyDescent="0.2">
      <c r="B14" s="58" t="s">
        <v>21</v>
      </c>
      <c r="C14" s="59">
        <v>37</v>
      </c>
      <c r="D14" s="59">
        <v>34</v>
      </c>
      <c r="E14" s="59">
        <v>37</v>
      </c>
      <c r="F14" s="59">
        <v>36</v>
      </c>
      <c r="G14" s="59">
        <v>39</v>
      </c>
      <c r="H14" s="59">
        <v>37</v>
      </c>
      <c r="I14" s="59">
        <v>46</v>
      </c>
      <c r="J14" s="59">
        <v>43</v>
      </c>
      <c r="K14" s="59">
        <v>45</v>
      </c>
      <c r="L14" s="59">
        <v>28</v>
      </c>
    </row>
    <row r="15" spans="2:12" x14ac:dyDescent="0.2">
      <c r="B15" s="58" t="s">
        <v>22</v>
      </c>
      <c r="C15" s="59">
        <v>27</v>
      </c>
      <c r="D15" s="59">
        <v>29</v>
      </c>
      <c r="E15" s="59">
        <v>35</v>
      </c>
      <c r="F15" s="59">
        <v>35</v>
      </c>
      <c r="G15" s="59">
        <v>25</v>
      </c>
      <c r="H15" s="59">
        <v>22</v>
      </c>
      <c r="I15" s="59">
        <v>17</v>
      </c>
      <c r="J15" s="59">
        <v>14</v>
      </c>
      <c r="K15" s="59">
        <v>10</v>
      </c>
      <c r="L15" s="59">
        <v>11</v>
      </c>
    </row>
    <row r="16" spans="2:12" x14ac:dyDescent="0.2">
      <c r="B16" s="58" t="s">
        <v>23</v>
      </c>
      <c r="C16" s="59">
        <v>104</v>
      </c>
      <c r="D16" s="59">
        <v>126</v>
      </c>
      <c r="E16" s="59">
        <v>148</v>
      </c>
      <c r="F16" s="59">
        <v>170</v>
      </c>
      <c r="G16" s="59">
        <v>165</v>
      </c>
      <c r="H16" s="59">
        <v>181</v>
      </c>
      <c r="I16" s="59">
        <v>191</v>
      </c>
      <c r="J16" s="59">
        <v>176</v>
      </c>
      <c r="K16" s="59">
        <v>193</v>
      </c>
      <c r="L16" s="59">
        <v>218</v>
      </c>
    </row>
    <row r="17" spans="2:12" x14ac:dyDescent="0.2">
      <c r="B17" s="58" t="s">
        <v>24</v>
      </c>
      <c r="C17" s="59">
        <v>89</v>
      </c>
      <c r="D17" s="59">
        <v>70</v>
      </c>
      <c r="E17" s="59">
        <v>65</v>
      </c>
      <c r="F17" s="59">
        <v>78</v>
      </c>
      <c r="G17" s="59">
        <v>87</v>
      </c>
      <c r="H17" s="59">
        <v>86</v>
      </c>
      <c r="I17" s="59">
        <v>95</v>
      </c>
      <c r="J17" s="59">
        <v>86</v>
      </c>
      <c r="K17" s="59">
        <v>85</v>
      </c>
      <c r="L17" s="59">
        <v>76</v>
      </c>
    </row>
    <row r="18" spans="2:12" x14ac:dyDescent="0.2">
      <c r="B18" s="58" t="s">
        <v>25</v>
      </c>
      <c r="C18" s="59">
        <v>46</v>
      </c>
      <c r="D18" s="59">
        <v>47</v>
      </c>
      <c r="E18" s="59">
        <v>38</v>
      </c>
      <c r="F18" s="59">
        <v>38</v>
      </c>
      <c r="G18" s="59">
        <v>54</v>
      </c>
      <c r="H18" s="59">
        <v>58</v>
      </c>
      <c r="I18" s="59">
        <v>60</v>
      </c>
      <c r="J18" s="59">
        <v>66</v>
      </c>
      <c r="K18" s="59">
        <v>70</v>
      </c>
      <c r="L18" s="59">
        <v>76</v>
      </c>
    </row>
    <row r="19" spans="2:12" x14ac:dyDescent="0.2">
      <c r="B19" s="61" t="s">
        <v>26</v>
      </c>
      <c r="C19" s="62">
        <v>246</v>
      </c>
      <c r="D19" s="62">
        <v>239</v>
      </c>
      <c r="E19" s="62">
        <v>252</v>
      </c>
      <c r="F19" s="62">
        <v>292</v>
      </c>
      <c r="G19" s="62">
        <v>294</v>
      </c>
      <c r="H19" s="62">
        <v>306</v>
      </c>
      <c r="I19" s="62">
        <v>328</v>
      </c>
      <c r="J19" s="62">
        <v>358</v>
      </c>
      <c r="K19" s="62">
        <v>367</v>
      </c>
      <c r="L19" s="62">
        <v>374</v>
      </c>
    </row>
    <row r="20" spans="2:12" x14ac:dyDescent="0.2">
      <c r="B20" s="20" t="s">
        <v>27</v>
      </c>
      <c r="C20" s="21">
        <f>SUBTOTAL(109,'Ethnic Enrollment Choice'!$C$6:$C$19)</f>
        <v>1096</v>
      </c>
      <c r="D20" s="21">
        <f>SUBTOTAL(109,'Ethnic Enrollment Choice'!$D$6:$D$19)</f>
        <v>1081</v>
      </c>
      <c r="E20" s="21">
        <f>SUBTOTAL(109,'Ethnic Enrollment Choice'!$E$6:$E$19)</f>
        <v>1095</v>
      </c>
      <c r="F20" s="21">
        <f>SUBTOTAL(109,'Ethnic Enrollment Choice'!$F$6:$F$19)</f>
        <v>1173</v>
      </c>
      <c r="G20" s="21">
        <f>SUBTOTAL(109,'Ethnic Enrollment Choice'!$G$6:$G$19)</f>
        <v>1195</v>
      </c>
      <c r="H20" s="21">
        <f>SUBTOTAL(109,'Ethnic Enrollment Choice'!$H$6:$H$19)</f>
        <v>1246</v>
      </c>
      <c r="I20" s="21">
        <f>SUBTOTAL(109,'Ethnic Enrollment Choice'!$I$6:$I$19)</f>
        <v>1299</v>
      </c>
      <c r="J20" s="21">
        <f>SUBTOTAL(109,'Ethnic Enrollment Choice'!$J$6:$J$19)</f>
        <v>1315</v>
      </c>
      <c r="K20" s="21">
        <f>SUBTOTAL(109,'Ethnic Enrollment Choice'!$K$6:$K$19)</f>
        <v>1333</v>
      </c>
      <c r="L20" s="21">
        <f>SUBTOTAL(109,'Ethnic Enrollment Choice'!$L$6:$L$19)</f>
        <v>1349</v>
      </c>
    </row>
    <row r="22" spans="2:12" x14ac:dyDescent="0.2">
      <c r="B22" s="6" t="s">
        <v>29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</row>
    <row r="23" spans="2:12" x14ac:dyDescent="0.2">
      <c r="B23" s="9" t="s">
        <v>30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</row>
    <row r="24" spans="2:12" x14ac:dyDescent="0.2">
      <c r="B24" s="9" t="s">
        <v>31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</row>
  </sheetData>
  <mergeCells count="3">
    <mergeCell ref="B1:L1"/>
    <mergeCell ref="B3:L3"/>
    <mergeCell ref="B2:L2"/>
  </mergeCells>
  <dataValidations count="2">
    <dataValidation type="list" allowBlank="1" showInputMessage="1" showErrorMessage="1" sqref="B3:L3">
      <formula1>"00 NRA,01 Black or African American,02 Native American,03 Asian,04 Hispanic,05 White,07 Native Hawaiian or Pacific Islander,90 Two or More Races,99 Unknown"</formula1>
    </dataValidation>
    <dataValidation type="list" allowBlank="1" showInputMessage="1" showErrorMessage="1" sqref="B2:L2">
      <formula1>"Total Students,UG Undergraduate Students,GR Graduate Students"</formula1>
    </dataValidation>
  </dataValidations>
  <printOptions horizontalCentered="1"/>
  <pageMargins left="0.5" right="0.5" top="1" bottom="0.5" header="0.3" footer="0.3"/>
  <pageSetup scale="70" fitToHeight="0" orientation="landscape" r:id="rId1"/>
  <headerFooter>
    <oddHeader>&amp;L&amp;"Arial,Regular"&amp;10Pennsylvania's State System of Higher Education | &amp;D
Office of Educational Intelligence | Page &amp;P of 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B1:AF67"/>
  <sheetViews>
    <sheetView zoomScaleNormal="100" workbookViewId="0">
      <selection activeCell="C74" sqref="C74"/>
    </sheetView>
  </sheetViews>
  <sheetFormatPr defaultRowHeight="14.25" x14ac:dyDescent="0.2"/>
  <cols>
    <col min="1" max="1" width="9.140625" style="5"/>
    <col min="2" max="2" width="23.5703125" style="5" customWidth="1"/>
    <col min="3" max="3" width="10.7109375" style="5" bestFit="1" customWidth="1"/>
    <col min="4" max="4" width="10.5703125" style="5" bestFit="1" customWidth="1"/>
    <col min="5" max="5" width="11.7109375" style="5" customWidth="1"/>
    <col min="6" max="6" width="10.7109375" style="5" bestFit="1" customWidth="1"/>
    <col min="7" max="7" width="10.5703125" style="5" bestFit="1" customWidth="1"/>
    <col min="8" max="8" width="11.7109375" style="5" customWidth="1"/>
    <col min="9" max="9" width="10.7109375" style="5" bestFit="1" customWidth="1"/>
    <col min="10" max="10" width="10.5703125" style="5" bestFit="1" customWidth="1"/>
    <col min="11" max="11" width="11.7109375" style="5" customWidth="1"/>
    <col min="12" max="12" width="10.7109375" style="5" bestFit="1" customWidth="1"/>
    <col min="13" max="13" width="10.5703125" style="5" bestFit="1" customWidth="1"/>
    <col min="14" max="14" width="11.7109375" style="5" customWidth="1"/>
    <col min="15" max="15" width="10.7109375" style="5" bestFit="1" customWidth="1"/>
    <col min="16" max="16" width="10.5703125" style="5" bestFit="1" customWidth="1"/>
    <col min="17" max="17" width="11.7109375" style="5" customWidth="1"/>
    <col min="18" max="18" width="10.28515625" style="5" customWidth="1"/>
    <col min="19" max="19" width="10.5703125" style="5" bestFit="1" customWidth="1"/>
    <col min="20" max="20" width="11.7109375" style="5" customWidth="1"/>
    <col min="21" max="21" width="10.7109375" style="5" bestFit="1" customWidth="1"/>
    <col min="22" max="22" width="10.5703125" style="5" bestFit="1" customWidth="1"/>
    <col min="23" max="23" width="11.7109375" style="5" customWidth="1"/>
    <col min="24" max="24" width="10.7109375" style="5" bestFit="1" customWidth="1"/>
    <col min="25" max="25" width="9.7109375" style="5" customWidth="1"/>
    <col min="26" max="26" width="11.7109375" style="5" customWidth="1"/>
    <col min="27" max="27" width="10.7109375" style="5" bestFit="1" customWidth="1"/>
    <col min="28" max="28" width="10.5703125" style="5" bestFit="1" customWidth="1"/>
    <col min="29" max="29" width="11.7109375" style="5" customWidth="1"/>
    <col min="30" max="30" width="11.85546875" style="5" bestFit="1" customWidth="1"/>
    <col min="31" max="32" width="11.7109375" style="5" bestFit="1" customWidth="1"/>
    <col min="33" max="16384" width="9.140625" style="5"/>
  </cols>
  <sheetData>
    <row r="1" spans="2:32" ht="15" x14ac:dyDescent="0.2">
      <c r="B1" s="131" t="s">
        <v>0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</row>
    <row r="2" spans="2:32" ht="15" x14ac:dyDescent="0.2">
      <c r="B2" s="127" t="s">
        <v>80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</row>
    <row r="3" spans="2:32" x14ac:dyDescent="0.2">
      <c r="B3" s="134" t="s">
        <v>1</v>
      </c>
      <c r="C3" s="133" t="str">
        <f>CONCATENATE(IF(RIGHT(Parameters!B1,1) = "1","Fall ", "Spring "),IF(RIGHT(Parameters!B1,1) = "1",LEFT(Parameters!B1,4) -9, LEFT(Parameters!B1,4) - 8))</f>
        <v>Fall 2010</v>
      </c>
      <c r="D3" s="133"/>
      <c r="E3" s="133"/>
      <c r="F3" s="133" t="str">
        <f>CONCATENATE(IF(RIGHT(Parameters!B1,1) = "1","Fall ", "Spring "),IF(RIGHT(Parameters!B1,1) = "1",LEFT(Parameters!B1,4) -8, LEFT(Parameters!B1,4) - 7))</f>
        <v>Fall 2011</v>
      </c>
      <c r="G3" s="133"/>
      <c r="H3" s="133"/>
      <c r="I3" s="133" t="str">
        <f>CONCATENATE(IF(RIGHT(Parameters!B1,1) = "1","Fall ", "Spring "),IF(RIGHT(Parameters!B1,1) = "1",LEFT(Parameters!B1,4) -7, LEFT(Parameters!B1,4) - 6))</f>
        <v>Fall 2012</v>
      </c>
      <c r="J3" s="133"/>
      <c r="K3" s="133"/>
      <c r="L3" s="133" t="str">
        <f>CONCATENATE(IF(RIGHT(Parameters!B1,1) = "1","Fall ", "Spring "),IF(RIGHT(Parameters!B1,1) = "1",LEFT(Parameters!B1,4) -6, LEFT(Parameters!B1,4) - 5))</f>
        <v>Fall 2013</v>
      </c>
      <c r="M3" s="133"/>
      <c r="N3" s="133"/>
      <c r="O3" s="133" t="str">
        <f>CONCATENATE(IF(RIGHT(Parameters!B1,1) = "1","Fall ", "Spring "),IF(RIGHT(Parameters!B1,1) = "1",LEFT(Parameters!B1,4) -5, LEFT(Parameters!B1,4) - 4))</f>
        <v>Fall 2014</v>
      </c>
      <c r="P3" s="133"/>
      <c r="Q3" s="133"/>
      <c r="R3" s="133" t="str">
        <f>CONCATENATE(IF(RIGHT(Parameters!B1,1) = "1","Fall ", "Spring "),IF(RIGHT(Parameters!B1,1) = "1",LEFT(Parameters!B1,4) -4, LEFT(Parameters!B1,4) - 3))</f>
        <v>Fall 2015</v>
      </c>
      <c r="S3" s="133"/>
      <c r="T3" s="133"/>
      <c r="U3" s="133" t="str">
        <f>CONCATENATE(IF(RIGHT(Parameters!B1,1) = "1","Fall ", "Spring "),IF(RIGHT(Parameters!B1,1) = "1",LEFT(Parameters!B1,4) -3, LEFT(Parameters!B1,4) -2 ))</f>
        <v>Fall 2016</v>
      </c>
      <c r="V3" s="133"/>
      <c r="W3" s="133"/>
      <c r="X3" s="133" t="str">
        <f>CONCATENATE(IF(RIGHT(Parameters!B1,1) = "1","Fall ", "Spring "),IF(RIGHT(Parameters!B1,1) = "1",LEFT(Parameters!B1,4) -2, LEFT(Parameters!B1,4) -1 ))</f>
        <v>Fall 2017</v>
      </c>
      <c r="Y3" s="133"/>
      <c r="Z3" s="133"/>
      <c r="AA3" s="133" t="str">
        <f>CONCATENATE(IF(RIGHT(Parameters!B1,1) = "1","Fall ", "Spring "),IF(RIGHT(Parameters!B1,1) = "1",LEFT(Parameters!B1,4) -1, LEFT(Parameters!B1,4) ))</f>
        <v>Fall 2018</v>
      </c>
      <c r="AB3" s="133"/>
      <c r="AC3" s="133"/>
      <c r="AD3" s="133" t="str">
        <f>CONCATENATE(IF(RIGHT(Parameters!B1,1) = "1","Fall ", "Spring "),IF(RIGHT(Parameters!B1,1) = "1",LEFT(Parameters!B1,4), LEFT(Parameters!B1,4) + 1))</f>
        <v>Fall 2019</v>
      </c>
      <c r="AE3" s="133"/>
      <c r="AF3" s="133"/>
    </row>
    <row r="4" spans="2:32" ht="42.75" x14ac:dyDescent="0.2">
      <c r="B4" s="135"/>
      <c r="C4" s="54" t="s">
        <v>81</v>
      </c>
      <c r="D4" s="54" t="s">
        <v>82</v>
      </c>
      <c r="E4" s="54" t="s">
        <v>83</v>
      </c>
      <c r="F4" s="54" t="s">
        <v>81</v>
      </c>
      <c r="G4" s="54" t="s">
        <v>82</v>
      </c>
      <c r="H4" s="54" t="s">
        <v>83</v>
      </c>
      <c r="I4" s="54" t="s">
        <v>81</v>
      </c>
      <c r="J4" s="54" t="s">
        <v>82</v>
      </c>
      <c r="K4" s="54" t="s">
        <v>83</v>
      </c>
      <c r="L4" s="54" t="s">
        <v>81</v>
      </c>
      <c r="M4" s="54" t="s">
        <v>82</v>
      </c>
      <c r="N4" s="54" t="s">
        <v>83</v>
      </c>
      <c r="O4" s="54" t="s">
        <v>81</v>
      </c>
      <c r="P4" s="54" t="s">
        <v>82</v>
      </c>
      <c r="Q4" s="54" t="s">
        <v>83</v>
      </c>
      <c r="R4" s="54" t="s">
        <v>81</v>
      </c>
      <c r="S4" s="54" t="s">
        <v>82</v>
      </c>
      <c r="T4" s="54" t="s">
        <v>83</v>
      </c>
      <c r="U4" s="54" t="s">
        <v>81</v>
      </c>
      <c r="V4" s="54" t="s">
        <v>82</v>
      </c>
      <c r="W4" s="54" t="s">
        <v>83</v>
      </c>
      <c r="X4" s="54" t="s">
        <v>81</v>
      </c>
      <c r="Y4" s="54" t="s">
        <v>82</v>
      </c>
      <c r="Z4" s="54" t="s">
        <v>83</v>
      </c>
      <c r="AA4" s="54" t="s">
        <v>81</v>
      </c>
      <c r="AB4" s="54" t="s">
        <v>82</v>
      </c>
      <c r="AC4" s="54" t="s">
        <v>83</v>
      </c>
      <c r="AD4" s="54" t="s">
        <v>81</v>
      </c>
      <c r="AE4" s="54" t="s">
        <v>82</v>
      </c>
      <c r="AF4" s="54" t="s">
        <v>83</v>
      </c>
    </row>
    <row r="5" spans="2:32" ht="17.25" hidden="1" customHeight="1" thickBot="1" x14ac:dyDescent="0.25">
      <c r="B5" s="26" t="s">
        <v>2</v>
      </c>
      <c r="C5" s="26" t="s">
        <v>84</v>
      </c>
      <c r="D5" s="26" t="s">
        <v>85</v>
      </c>
      <c r="E5" s="26" t="s">
        <v>86</v>
      </c>
      <c r="F5" s="26" t="s">
        <v>87</v>
      </c>
      <c r="G5" s="26" t="s">
        <v>88</v>
      </c>
      <c r="H5" s="26" t="s">
        <v>89</v>
      </c>
      <c r="I5" s="26" t="s">
        <v>90</v>
      </c>
      <c r="J5" s="26" t="s">
        <v>91</v>
      </c>
      <c r="K5" s="26" t="s">
        <v>92</v>
      </c>
      <c r="L5" s="26" t="s">
        <v>93</v>
      </c>
      <c r="M5" s="26" t="s">
        <v>94</v>
      </c>
      <c r="N5" s="26" t="s">
        <v>95</v>
      </c>
      <c r="O5" s="26" t="s">
        <v>96</v>
      </c>
      <c r="P5" s="26" t="s">
        <v>97</v>
      </c>
      <c r="Q5" s="26" t="s">
        <v>98</v>
      </c>
      <c r="R5" s="26" t="s">
        <v>99</v>
      </c>
      <c r="S5" s="26" t="s">
        <v>100</v>
      </c>
      <c r="T5" s="26" t="s">
        <v>101</v>
      </c>
      <c r="U5" s="26" t="s">
        <v>102</v>
      </c>
      <c r="V5" s="26" t="s">
        <v>103</v>
      </c>
      <c r="W5" s="26" t="s">
        <v>104</v>
      </c>
      <c r="X5" s="26" t="s">
        <v>105</v>
      </c>
      <c r="Y5" s="26" t="s">
        <v>106</v>
      </c>
      <c r="Z5" s="26" t="s">
        <v>107</v>
      </c>
      <c r="AA5" s="26" t="s">
        <v>108</v>
      </c>
      <c r="AB5" s="26" t="s">
        <v>109</v>
      </c>
      <c r="AC5" s="26" t="s">
        <v>110</v>
      </c>
      <c r="AD5" s="26" t="s">
        <v>111</v>
      </c>
      <c r="AE5" s="26" t="s">
        <v>112</v>
      </c>
      <c r="AF5" s="26" t="s">
        <v>113</v>
      </c>
    </row>
    <row r="6" spans="2:32" x14ac:dyDescent="0.2">
      <c r="B6" s="67" t="s">
        <v>13</v>
      </c>
      <c r="C6" s="57">
        <v>1170</v>
      </c>
      <c r="D6" s="57">
        <v>9434</v>
      </c>
      <c r="E6" s="68">
        <v>0.124019</v>
      </c>
      <c r="F6" s="57">
        <v>1254</v>
      </c>
      <c r="G6" s="57">
        <v>9621</v>
      </c>
      <c r="H6" s="68">
        <v>0.13033900000000001</v>
      </c>
      <c r="I6" s="57">
        <v>1347</v>
      </c>
      <c r="J6" s="57">
        <v>9510</v>
      </c>
      <c r="K6" s="68">
        <v>0.14163999999999999</v>
      </c>
      <c r="L6" s="57">
        <v>1516</v>
      </c>
      <c r="M6" s="57">
        <v>9786</v>
      </c>
      <c r="N6" s="68">
        <v>0.154915</v>
      </c>
      <c r="O6" s="57">
        <v>1609</v>
      </c>
      <c r="P6" s="57">
        <v>9734</v>
      </c>
      <c r="Q6" s="68">
        <v>0.165296</v>
      </c>
      <c r="R6" s="57">
        <v>1717</v>
      </c>
      <c r="S6" s="57">
        <v>9561</v>
      </c>
      <c r="T6" s="68">
        <v>0.17958299999999999</v>
      </c>
      <c r="U6" s="57">
        <v>1796</v>
      </c>
      <c r="V6" s="57">
        <v>9495</v>
      </c>
      <c r="W6" s="68">
        <v>0.18915199999999999</v>
      </c>
      <c r="X6" s="57">
        <v>1748</v>
      </c>
      <c r="Y6" s="57">
        <v>9099</v>
      </c>
      <c r="Z6" s="68">
        <v>0.192109</v>
      </c>
      <c r="AA6" s="57">
        <v>1526</v>
      </c>
      <c r="AB6" s="57">
        <v>8548</v>
      </c>
      <c r="AC6" s="68">
        <v>0.17852100000000001</v>
      </c>
      <c r="AD6" s="57">
        <v>1452</v>
      </c>
      <c r="AE6" s="57">
        <v>8223</v>
      </c>
      <c r="AF6" s="68">
        <v>0.17657700000000001</v>
      </c>
    </row>
    <row r="7" spans="2:32" x14ac:dyDescent="0.2">
      <c r="B7" s="69" t="s">
        <v>14</v>
      </c>
      <c r="C7" s="59">
        <v>955</v>
      </c>
      <c r="D7" s="59">
        <v>8684</v>
      </c>
      <c r="E7" s="70">
        <v>0.109972</v>
      </c>
      <c r="F7" s="59">
        <v>1000</v>
      </c>
      <c r="G7" s="59">
        <v>8237</v>
      </c>
      <c r="H7" s="70">
        <v>0.121403</v>
      </c>
      <c r="I7" s="59">
        <v>1104</v>
      </c>
      <c r="J7" s="59">
        <v>7833</v>
      </c>
      <c r="K7" s="70">
        <v>0.14094200000000001</v>
      </c>
      <c r="L7" s="59">
        <v>1281</v>
      </c>
      <c r="M7" s="59">
        <v>7661</v>
      </c>
      <c r="N7" s="70">
        <v>0.16721</v>
      </c>
      <c r="O7" s="59">
        <v>1443</v>
      </c>
      <c r="P7" s="59">
        <v>7608</v>
      </c>
      <c r="Q7" s="70">
        <v>0.189668</v>
      </c>
      <c r="R7" s="59">
        <v>1464</v>
      </c>
      <c r="S7" s="59">
        <v>7560</v>
      </c>
      <c r="T7" s="70">
        <v>0.19364999999999999</v>
      </c>
      <c r="U7" s="59">
        <v>1439</v>
      </c>
      <c r="V7" s="59">
        <v>7281</v>
      </c>
      <c r="W7" s="70">
        <v>0.19763700000000001</v>
      </c>
      <c r="X7" s="59">
        <v>1498</v>
      </c>
      <c r="Y7" s="59">
        <v>7279</v>
      </c>
      <c r="Z7" s="70">
        <v>0.20579700000000001</v>
      </c>
      <c r="AA7" s="59">
        <v>1436</v>
      </c>
      <c r="AB7" s="59">
        <v>6916</v>
      </c>
      <c r="AC7" s="70">
        <v>0.20763400000000001</v>
      </c>
      <c r="AD7" s="59">
        <v>1300</v>
      </c>
      <c r="AE7" s="59">
        <v>6523</v>
      </c>
      <c r="AF7" s="70">
        <v>0.199294</v>
      </c>
    </row>
    <row r="8" spans="2:32" x14ac:dyDescent="0.2">
      <c r="B8" s="69" t="s">
        <v>15</v>
      </c>
      <c r="C8" s="59">
        <v>1201</v>
      </c>
      <c r="D8" s="59">
        <v>1218</v>
      </c>
      <c r="E8" s="70">
        <v>0.98604199999999997</v>
      </c>
      <c r="F8" s="59">
        <v>1157</v>
      </c>
      <c r="G8" s="59">
        <v>1161</v>
      </c>
      <c r="H8" s="70">
        <v>0.99655400000000005</v>
      </c>
      <c r="I8" s="59">
        <v>1235</v>
      </c>
      <c r="J8" s="59">
        <v>1245</v>
      </c>
      <c r="K8" s="70">
        <v>0.99196700000000004</v>
      </c>
      <c r="L8" s="59">
        <v>1171</v>
      </c>
      <c r="M8" s="59">
        <v>1185</v>
      </c>
      <c r="N8" s="70">
        <v>0.98818499999999998</v>
      </c>
      <c r="O8" s="59">
        <v>953</v>
      </c>
      <c r="P8" s="59">
        <v>965</v>
      </c>
      <c r="Q8" s="70">
        <v>0.987564</v>
      </c>
      <c r="R8" s="59">
        <v>654</v>
      </c>
      <c r="S8" s="59">
        <v>667</v>
      </c>
      <c r="T8" s="70">
        <v>0.98050899999999996</v>
      </c>
      <c r="U8" s="59">
        <v>679</v>
      </c>
      <c r="V8" s="59">
        <v>689</v>
      </c>
      <c r="W8" s="70">
        <v>0.98548599999999997</v>
      </c>
      <c r="X8" s="59">
        <v>656</v>
      </c>
      <c r="Y8" s="59">
        <v>670</v>
      </c>
      <c r="Z8" s="70">
        <v>0.97910399999999997</v>
      </c>
      <c r="AA8" s="59">
        <v>434</v>
      </c>
      <c r="AB8" s="59">
        <v>440</v>
      </c>
      <c r="AC8" s="70">
        <v>0.98636299999999999</v>
      </c>
      <c r="AD8" s="59">
        <v>584</v>
      </c>
      <c r="AE8" s="59">
        <v>587</v>
      </c>
      <c r="AF8" s="70">
        <v>0.99488900000000002</v>
      </c>
    </row>
    <row r="9" spans="2:32" x14ac:dyDescent="0.2">
      <c r="B9" s="69" t="s">
        <v>16</v>
      </c>
      <c r="C9" s="59">
        <v>607</v>
      </c>
      <c r="D9" s="59">
        <v>7004</v>
      </c>
      <c r="E9" s="70">
        <v>8.6664000000000005E-2</v>
      </c>
      <c r="F9" s="59">
        <v>651</v>
      </c>
      <c r="G9" s="59">
        <v>6600</v>
      </c>
      <c r="H9" s="70">
        <v>9.8636000000000001E-2</v>
      </c>
      <c r="I9" s="59">
        <v>606</v>
      </c>
      <c r="J9" s="59">
        <v>6215</v>
      </c>
      <c r="K9" s="70">
        <v>9.7505999999999995E-2</v>
      </c>
      <c r="L9" s="59">
        <v>646</v>
      </c>
      <c r="M9" s="59">
        <v>5807</v>
      </c>
      <c r="N9" s="70">
        <v>0.111245</v>
      </c>
      <c r="O9" s="59">
        <v>683</v>
      </c>
      <c r="P9" s="59">
        <v>5433</v>
      </c>
      <c r="Q9" s="70">
        <v>0.12571299999999999</v>
      </c>
      <c r="R9" s="59">
        <v>696</v>
      </c>
      <c r="S9" s="59">
        <v>5148</v>
      </c>
      <c r="T9" s="70">
        <v>0.13519800000000001</v>
      </c>
      <c r="U9" s="59">
        <v>676</v>
      </c>
      <c r="V9" s="59">
        <v>5070</v>
      </c>
      <c r="W9" s="70">
        <v>0.13333300000000001</v>
      </c>
      <c r="X9" s="59">
        <v>709</v>
      </c>
      <c r="Y9" s="59">
        <v>5023</v>
      </c>
      <c r="Z9" s="70">
        <v>0.14115</v>
      </c>
      <c r="AA9" s="59">
        <v>640</v>
      </c>
      <c r="AB9" s="59">
        <v>4688</v>
      </c>
      <c r="AC9" s="70">
        <v>0.136518</v>
      </c>
      <c r="AD9" s="59">
        <v>629</v>
      </c>
      <c r="AE9" s="59">
        <v>4484</v>
      </c>
      <c r="AF9" s="70">
        <v>0.14027600000000001</v>
      </c>
    </row>
    <row r="10" spans="2:32" x14ac:dyDescent="0.2">
      <c r="B10" s="69" t="s">
        <v>17</v>
      </c>
      <c r="C10" s="59">
        <v>1119</v>
      </c>
      <c r="D10" s="59">
        <v>6769</v>
      </c>
      <c r="E10" s="70">
        <v>0.16531199999999999</v>
      </c>
      <c r="F10" s="59">
        <v>1297</v>
      </c>
      <c r="G10" s="59">
        <v>6347</v>
      </c>
      <c r="H10" s="70">
        <v>0.204348</v>
      </c>
      <c r="I10" s="59">
        <v>1363</v>
      </c>
      <c r="J10" s="59">
        <v>5816</v>
      </c>
      <c r="K10" s="70">
        <v>0.23435300000000001</v>
      </c>
      <c r="L10" s="59">
        <v>1539</v>
      </c>
      <c r="M10" s="59">
        <v>5871</v>
      </c>
      <c r="N10" s="70">
        <v>0.26213500000000001</v>
      </c>
      <c r="O10" s="59">
        <v>1741</v>
      </c>
      <c r="P10" s="59">
        <v>6178</v>
      </c>
      <c r="Q10" s="70">
        <v>0.281806</v>
      </c>
      <c r="R10" s="59">
        <v>2061</v>
      </c>
      <c r="S10" s="59">
        <v>6628</v>
      </c>
      <c r="T10" s="70">
        <v>0.31095299999999998</v>
      </c>
      <c r="U10" s="59">
        <v>2169</v>
      </c>
      <c r="V10" s="59">
        <v>6639</v>
      </c>
      <c r="W10" s="70">
        <v>0.32670500000000002</v>
      </c>
      <c r="X10" s="59">
        <v>2276</v>
      </c>
      <c r="Y10" s="59">
        <v>6511</v>
      </c>
      <c r="Z10" s="70">
        <v>0.34956199999999998</v>
      </c>
      <c r="AA10" s="59">
        <v>2286</v>
      </c>
      <c r="AB10" s="59">
        <v>6157</v>
      </c>
      <c r="AC10" s="70">
        <v>0.371284</v>
      </c>
      <c r="AD10" s="59">
        <v>2321</v>
      </c>
      <c r="AE10" s="59">
        <v>5947</v>
      </c>
      <c r="AF10" s="70">
        <v>0.39028000000000002</v>
      </c>
    </row>
    <row r="11" spans="2:32" x14ac:dyDescent="0.2">
      <c r="B11" s="69" t="s">
        <v>18</v>
      </c>
      <c r="C11" s="59">
        <v>856</v>
      </c>
      <c r="D11" s="59">
        <v>8532</v>
      </c>
      <c r="E11" s="70">
        <v>0.100328</v>
      </c>
      <c r="F11" s="59">
        <v>866</v>
      </c>
      <c r="G11" s="59">
        <v>8136</v>
      </c>
      <c r="H11" s="70">
        <v>0.10644000000000001</v>
      </c>
      <c r="I11" s="59">
        <v>858</v>
      </c>
      <c r="J11" s="59">
        <v>7337</v>
      </c>
      <c r="K11" s="70">
        <v>0.116941</v>
      </c>
      <c r="L11" s="59">
        <v>870</v>
      </c>
      <c r="M11" s="59">
        <v>6936</v>
      </c>
      <c r="N11" s="70">
        <v>0.12543199999999999</v>
      </c>
      <c r="O11" s="59">
        <v>961</v>
      </c>
      <c r="P11" s="59">
        <v>6641</v>
      </c>
      <c r="Q11" s="70">
        <v>0.144707</v>
      </c>
      <c r="R11" s="59">
        <v>930</v>
      </c>
      <c r="S11" s="59">
        <v>6336</v>
      </c>
      <c r="T11" s="70">
        <v>0.14677999999999999</v>
      </c>
      <c r="U11" s="59">
        <v>908</v>
      </c>
      <c r="V11" s="59">
        <v>5974</v>
      </c>
      <c r="W11" s="70">
        <v>0.15199099999999999</v>
      </c>
      <c r="X11" s="59">
        <v>818</v>
      </c>
      <c r="Y11" s="59">
        <v>5381</v>
      </c>
      <c r="Z11" s="70">
        <v>0.15201600000000001</v>
      </c>
      <c r="AA11" s="59">
        <v>665</v>
      </c>
      <c r="AB11" s="59">
        <v>4634</v>
      </c>
      <c r="AC11" s="70">
        <v>0.14350399999999999</v>
      </c>
      <c r="AD11" s="59">
        <v>494</v>
      </c>
      <c r="AE11" s="59">
        <v>4349</v>
      </c>
      <c r="AF11" s="70">
        <v>0.113589</v>
      </c>
    </row>
    <row r="12" spans="2:32" x14ac:dyDescent="0.2">
      <c r="B12" s="69" t="s">
        <v>19</v>
      </c>
      <c r="C12" s="59">
        <v>2013</v>
      </c>
      <c r="D12" s="59">
        <v>13759</v>
      </c>
      <c r="E12" s="70">
        <v>0.14630399999999999</v>
      </c>
      <c r="F12" s="59">
        <v>2130</v>
      </c>
      <c r="G12" s="59">
        <v>13999</v>
      </c>
      <c r="H12" s="70">
        <v>0.15215300000000001</v>
      </c>
      <c r="I12" s="59">
        <v>2366</v>
      </c>
      <c r="J12" s="59">
        <v>14426</v>
      </c>
      <c r="K12" s="70">
        <v>0.16400899999999999</v>
      </c>
      <c r="L12" s="59">
        <v>2355</v>
      </c>
      <c r="M12" s="59">
        <v>13709</v>
      </c>
      <c r="N12" s="70">
        <v>0.17178399999999999</v>
      </c>
      <c r="O12" s="59">
        <v>2537</v>
      </c>
      <c r="P12" s="59">
        <v>13424</v>
      </c>
      <c r="Q12" s="70">
        <v>0.18898899999999999</v>
      </c>
      <c r="R12" s="59">
        <v>2622</v>
      </c>
      <c r="S12" s="59">
        <v>12856</v>
      </c>
      <c r="T12" s="70">
        <v>0.20395099999999999</v>
      </c>
      <c r="U12" s="59">
        <v>2519</v>
      </c>
      <c r="V12" s="59">
        <v>12006</v>
      </c>
      <c r="W12" s="70">
        <v>0.209811</v>
      </c>
      <c r="X12" s="59">
        <v>2502</v>
      </c>
      <c r="Y12" s="59">
        <v>11561</v>
      </c>
      <c r="Z12" s="70">
        <v>0.216417</v>
      </c>
      <c r="AA12" s="59">
        <v>2350</v>
      </c>
      <c r="AB12" s="59">
        <v>10674</v>
      </c>
      <c r="AC12" s="70">
        <v>0.220161</v>
      </c>
      <c r="AD12" s="59">
        <v>2198</v>
      </c>
      <c r="AE12" s="59">
        <v>9875</v>
      </c>
      <c r="AF12" s="70">
        <v>0.222582</v>
      </c>
    </row>
    <row r="13" spans="2:32" x14ac:dyDescent="0.2">
      <c r="B13" s="69" t="s">
        <v>20</v>
      </c>
      <c r="C13" s="59">
        <v>1324</v>
      </c>
      <c r="D13" s="59">
        <v>10379</v>
      </c>
      <c r="E13" s="70">
        <v>0.12756500000000001</v>
      </c>
      <c r="F13" s="59">
        <v>1516</v>
      </c>
      <c r="G13" s="59">
        <v>9952</v>
      </c>
      <c r="H13" s="70">
        <v>0.15233099999999999</v>
      </c>
      <c r="I13" s="59">
        <v>1560</v>
      </c>
      <c r="J13" s="59">
        <v>9508</v>
      </c>
      <c r="K13" s="70">
        <v>0.164072</v>
      </c>
      <c r="L13" s="59">
        <v>1495</v>
      </c>
      <c r="M13" s="59">
        <v>9234</v>
      </c>
      <c r="N13" s="70">
        <v>0.16190099999999999</v>
      </c>
      <c r="O13" s="59">
        <v>1686</v>
      </c>
      <c r="P13" s="59">
        <v>8947</v>
      </c>
      <c r="Q13" s="70">
        <v>0.188443</v>
      </c>
      <c r="R13" s="59">
        <v>1744</v>
      </c>
      <c r="S13" s="59">
        <v>8712</v>
      </c>
      <c r="T13" s="70">
        <v>0.200183</v>
      </c>
      <c r="U13" s="59">
        <v>1655</v>
      </c>
      <c r="V13" s="59">
        <v>8277</v>
      </c>
      <c r="W13" s="70">
        <v>0.19995099999999999</v>
      </c>
      <c r="X13" s="59">
        <v>1731</v>
      </c>
      <c r="Y13" s="59">
        <v>8111</v>
      </c>
      <c r="Z13" s="70">
        <v>0.21341299999999999</v>
      </c>
      <c r="AA13" s="59">
        <v>1755</v>
      </c>
      <c r="AB13" s="59">
        <v>8020</v>
      </c>
      <c r="AC13" s="70">
        <v>0.21882699999999999</v>
      </c>
      <c r="AD13" s="59">
        <v>1716</v>
      </c>
      <c r="AE13" s="59">
        <v>7851</v>
      </c>
      <c r="AF13" s="70">
        <v>0.21856999999999999</v>
      </c>
    </row>
    <row r="14" spans="2:32" x14ac:dyDescent="0.2">
      <c r="B14" s="69" t="s">
        <v>21</v>
      </c>
      <c r="C14" s="59">
        <v>546</v>
      </c>
      <c r="D14" s="59">
        <v>5348</v>
      </c>
      <c r="E14" s="70">
        <v>0.102094</v>
      </c>
      <c r="F14" s="59">
        <v>510</v>
      </c>
      <c r="G14" s="59">
        <v>5269</v>
      </c>
      <c r="H14" s="70">
        <v>9.6792000000000003E-2</v>
      </c>
      <c r="I14" s="59">
        <v>596</v>
      </c>
      <c r="J14" s="59">
        <v>5250</v>
      </c>
      <c r="K14" s="70">
        <v>0.113523</v>
      </c>
      <c r="L14" s="59">
        <v>621</v>
      </c>
      <c r="M14" s="59">
        <v>5188</v>
      </c>
      <c r="N14" s="70">
        <v>0.119699</v>
      </c>
      <c r="O14" s="59">
        <v>603</v>
      </c>
      <c r="P14" s="59">
        <v>4792</v>
      </c>
      <c r="Q14" s="70">
        <v>0.125834</v>
      </c>
      <c r="R14" s="59">
        <v>591</v>
      </c>
      <c r="S14" s="59">
        <v>4494</v>
      </c>
      <c r="T14" s="70">
        <v>0.13150800000000001</v>
      </c>
      <c r="U14" s="59">
        <v>568</v>
      </c>
      <c r="V14" s="59">
        <v>4124</v>
      </c>
      <c r="W14" s="70">
        <v>0.13772999999999999</v>
      </c>
      <c r="X14" s="59">
        <v>526</v>
      </c>
      <c r="Y14" s="59">
        <v>3659</v>
      </c>
      <c r="Z14" s="70">
        <v>0.14375499999999999</v>
      </c>
      <c r="AA14" s="59">
        <v>418</v>
      </c>
      <c r="AB14" s="59">
        <v>3305</v>
      </c>
      <c r="AC14" s="70">
        <v>0.126475</v>
      </c>
      <c r="AD14" s="59">
        <v>442</v>
      </c>
      <c r="AE14" s="59">
        <v>3083</v>
      </c>
      <c r="AF14" s="70">
        <v>0.14336599999999999</v>
      </c>
    </row>
    <row r="15" spans="2:32" x14ac:dyDescent="0.2">
      <c r="B15" s="69" t="s">
        <v>22</v>
      </c>
      <c r="C15" s="59">
        <v>367</v>
      </c>
      <c r="D15" s="59">
        <v>3122</v>
      </c>
      <c r="E15" s="70">
        <v>0.117552</v>
      </c>
      <c r="F15" s="59">
        <v>410</v>
      </c>
      <c r="G15" s="59">
        <v>3058</v>
      </c>
      <c r="H15" s="70">
        <v>0.134074</v>
      </c>
      <c r="I15" s="59">
        <v>442</v>
      </c>
      <c r="J15" s="59">
        <v>2952</v>
      </c>
      <c r="K15" s="70">
        <v>0.149728</v>
      </c>
      <c r="L15" s="59">
        <v>424</v>
      </c>
      <c r="M15" s="59">
        <v>2833</v>
      </c>
      <c r="N15" s="70">
        <v>0.14966399999999999</v>
      </c>
      <c r="O15" s="59">
        <v>406</v>
      </c>
      <c r="P15" s="59">
        <v>2659</v>
      </c>
      <c r="Q15" s="70">
        <v>0.15268799999999999</v>
      </c>
      <c r="R15" s="59">
        <v>363</v>
      </c>
      <c r="S15" s="59">
        <v>2333</v>
      </c>
      <c r="T15" s="70">
        <v>0.15559300000000001</v>
      </c>
      <c r="U15" s="59">
        <v>348</v>
      </c>
      <c r="V15" s="59">
        <v>2151</v>
      </c>
      <c r="W15" s="70">
        <v>0.16178500000000001</v>
      </c>
      <c r="X15" s="59">
        <v>313</v>
      </c>
      <c r="Y15" s="59">
        <v>1852</v>
      </c>
      <c r="Z15" s="70">
        <v>0.16900599999999999</v>
      </c>
      <c r="AA15" s="59">
        <v>284</v>
      </c>
      <c r="AB15" s="59">
        <v>1590</v>
      </c>
      <c r="AC15" s="70">
        <v>0.178616</v>
      </c>
      <c r="AD15" s="59">
        <v>313</v>
      </c>
      <c r="AE15" s="59">
        <v>1601</v>
      </c>
      <c r="AF15" s="70">
        <v>0.19550200000000001</v>
      </c>
    </row>
    <row r="16" spans="2:32" x14ac:dyDescent="0.2">
      <c r="B16" s="69" t="s">
        <v>23</v>
      </c>
      <c r="C16" s="59">
        <v>1226</v>
      </c>
      <c r="D16" s="59">
        <v>8547</v>
      </c>
      <c r="E16" s="70">
        <v>0.14344199999999999</v>
      </c>
      <c r="F16" s="59">
        <v>1374</v>
      </c>
      <c r="G16" s="59">
        <v>8582</v>
      </c>
      <c r="H16" s="70">
        <v>0.16010199999999999</v>
      </c>
      <c r="I16" s="59">
        <v>1499</v>
      </c>
      <c r="J16" s="59">
        <v>8253</v>
      </c>
      <c r="K16" s="70">
        <v>0.18163000000000001</v>
      </c>
      <c r="L16" s="59">
        <v>1634</v>
      </c>
      <c r="M16" s="59">
        <v>8173</v>
      </c>
      <c r="N16" s="70">
        <v>0.19992599999999999</v>
      </c>
      <c r="O16" s="59">
        <v>1709</v>
      </c>
      <c r="P16" s="59">
        <v>7949</v>
      </c>
      <c r="Q16" s="70">
        <v>0.21499499999999999</v>
      </c>
      <c r="R16" s="59">
        <v>1718</v>
      </c>
      <c r="S16" s="59">
        <v>7887</v>
      </c>
      <c r="T16" s="70">
        <v>0.21782599999999999</v>
      </c>
      <c r="U16" s="59">
        <v>1684</v>
      </c>
      <c r="V16" s="59">
        <v>7758</v>
      </c>
      <c r="W16" s="70">
        <v>0.21706600000000001</v>
      </c>
      <c r="X16" s="59">
        <v>1783</v>
      </c>
      <c r="Y16" s="59">
        <v>7583</v>
      </c>
      <c r="Z16" s="70">
        <v>0.23513100000000001</v>
      </c>
      <c r="AA16" s="59">
        <v>1769</v>
      </c>
      <c r="AB16" s="59">
        <v>7615</v>
      </c>
      <c r="AC16" s="70">
        <v>0.23230400000000001</v>
      </c>
      <c r="AD16" s="59">
        <v>1813</v>
      </c>
      <c r="AE16" s="59">
        <v>7640</v>
      </c>
      <c r="AF16" s="70">
        <v>0.23730299999999999</v>
      </c>
    </row>
    <row r="17" spans="2:32" x14ac:dyDescent="0.2">
      <c r="B17" s="69" t="s">
        <v>24</v>
      </c>
      <c r="C17" s="59">
        <v>912</v>
      </c>
      <c r="D17" s="59">
        <v>7798</v>
      </c>
      <c r="E17" s="70">
        <v>0.116953</v>
      </c>
      <c r="F17" s="59">
        <v>1003</v>
      </c>
      <c r="G17" s="59">
        <v>7772</v>
      </c>
      <c r="H17" s="70">
        <v>0.129053</v>
      </c>
      <c r="I17" s="59">
        <v>1101</v>
      </c>
      <c r="J17" s="59">
        <v>7388</v>
      </c>
      <c r="K17" s="70">
        <v>0.14902499999999999</v>
      </c>
      <c r="L17" s="59">
        <v>1215</v>
      </c>
      <c r="M17" s="59">
        <v>7244</v>
      </c>
      <c r="N17" s="70">
        <v>0.16772500000000001</v>
      </c>
      <c r="O17" s="59">
        <v>1299</v>
      </c>
      <c r="P17" s="59">
        <v>7103</v>
      </c>
      <c r="Q17" s="70">
        <v>0.18287999999999999</v>
      </c>
      <c r="R17" s="59">
        <v>1320</v>
      </c>
      <c r="S17" s="59">
        <v>6828</v>
      </c>
      <c r="T17" s="70">
        <v>0.19332099999999999</v>
      </c>
      <c r="U17" s="59">
        <v>1388</v>
      </c>
      <c r="V17" s="59">
        <v>6766</v>
      </c>
      <c r="W17" s="70">
        <v>0.20514299999999999</v>
      </c>
      <c r="X17" s="59">
        <v>1326</v>
      </c>
      <c r="Y17" s="59">
        <v>6398</v>
      </c>
      <c r="Z17" s="70">
        <v>0.20725199999999999</v>
      </c>
      <c r="AA17" s="59">
        <v>1402</v>
      </c>
      <c r="AB17" s="59">
        <v>6271</v>
      </c>
      <c r="AC17" s="70">
        <v>0.22356799999999999</v>
      </c>
      <c r="AD17" s="59">
        <v>1409</v>
      </c>
      <c r="AE17" s="59">
        <v>5974</v>
      </c>
      <c r="AF17" s="70">
        <v>0.23585500000000001</v>
      </c>
    </row>
    <row r="18" spans="2:32" x14ac:dyDescent="0.2">
      <c r="B18" s="69" t="s">
        <v>25</v>
      </c>
      <c r="C18" s="59">
        <v>692</v>
      </c>
      <c r="D18" s="59">
        <v>8271</v>
      </c>
      <c r="E18" s="70">
        <v>8.3665000000000003E-2</v>
      </c>
      <c r="F18" s="59">
        <v>705</v>
      </c>
      <c r="G18" s="59">
        <v>8171</v>
      </c>
      <c r="H18" s="70">
        <v>8.6279999999999996E-2</v>
      </c>
      <c r="I18" s="59">
        <v>743</v>
      </c>
      <c r="J18" s="59">
        <v>8081</v>
      </c>
      <c r="K18" s="70">
        <v>9.1943999999999998E-2</v>
      </c>
      <c r="L18" s="59">
        <v>808</v>
      </c>
      <c r="M18" s="59">
        <v>8005</v>
      </c>
      <c r="N18" s="70">
        <v>0.100936</v>
      </c>
      <c r="O18" s="59">
        <v>893</v>
      </c>
      <c r="P18" s="59">
        <v>8207</v>
      </c>
      <c r="Q18" s="70">
        <v>0.108809</v>
      </c>
      <c r="R18" s="59">
        <v>956</v>
      </c>
      <c r="S18" s="59">
        <v>8384</v>
      </c>
      <c r="T18" s="70">
        <v>0.114026</v>
      </c>
      <c r="U18" s="59">
        <v>1005</v>
      </c>
      <c r="V18" s="59">
        <v>8664</v>
      </c>
      <c r="W18" s="70">
        <v>0.115997</v>
      </c>
      <c r="X18" s="59">
        <v>1047</v>
      </c>
      <c r="Y18" s="59">
        <v>8683</v>
      </c>
      <c r="Z18" s="70">
        <v>0.12058000000000001</v>
      </c>
      <c r="AA18" s="59">
        <v>1034</v>
      </c>
      <c r="AB18" s="59">
        <v>8584</v>
      </c>
      <c r="AC18" s="70">
        <v>0.12045599999999999</v>
      </c>
      <c r="AD18" s="59">
        <v>1035</v>
      </c>
      <c r="AE18" s="59">
        <v>8561</v>
      </c>
      <c r="AF18" s="70">
        <v>0.120897</v>
      </c>
    </row>
    <row r="19" spans="2:32" x14ac:dyDescent="0.2">
      <c r="B19" s="71" t="s">
        <v>26</v>
      </c>
      <c r="C19" s="62">
        <v>2211</v>
      </c>
      <c r="D19" s="62">
        <v>14342</v>
      </c>
      <c r="E19" s="72">
        <v>0.15416199999999999</v>
      </c>
      <c r="F19" s="62">
        <v>2488</v>
      </c>
      <c r="G19" s="62">
        <v>14956</v>
      </c>
      <c r="H19" s="72">
        <v>0.166354</v>
      </c>
      <c r="I19" s="62">
        <v>2637</v>
      </c>
      <c r="J19" s="62">
        <v>15183</v>
      </c>
      <c r="K19" s="72">
        <v>0.173681</v>
      </c>
      <c r="L19" s="62">
        <v>2932</v>
      </c>
      <c r="M19" s="62">
        <v>15710</v>
      </c>
      <c r="N19" s="72">
        <v>0.18663199999999999</v>
      </c>
      <c r="O19" s="62">
        <v>3187</v>
      </c>
      <c r="P19" s="62">
        <v>15896</v>
      </c>
      <c r="Q19" s="72">
        <v>0.20049</v>
      </c>
      <c r="R19" s="62">
        <v>3493</v>
      </c>
      <c r="S19" s="62">
        <v>16357</v>
      </c>
      <c r="T19" s="72">
        <v>0.21354699999999999</v>
      </c>
      <c r="U19" s="62">
        <v>3768</v>
      </c>
      <c r="V19" s="62">
        <v>16750</v>
      </c>
      <c r="W19" s="72">
        <v>0.22495499999999999</v>
      </c>
      <c r="X19" s="62">
        <v>3963</v>
      </c>
      <c r="Y19" s="62">
        <v>17058</v>
      </c>
      <c r="Z19" s="72">
        <v>0.232325</v>
      </c>
      <c r="AA19" s="62">
        <v>4078</v>
      </c>
      <c r="AB19" s="62">
        <v>17194</v>
      </c>
      <c r="AC19" s="72">
        <v>0.237175</v>
      </c>
      <c r="AD19" s="62">
        <v>4219</v>
      </c>
      <c r="AE19" s="62">
        <v>17246</v>
      </c>
      <c r="AF19" s="72">
        <v>0.24463599999999999</v>
      </c>
    </row>
    <row r="20" spans="2:32" x14ac:dyDescent="0.2">
      <c r="B20" s="20" t="s">
        <v>27</v>
      </c>
      <c r="C20" s="21">
        <f>SUBTOTAL(109,'% Minority Trend'!$C$6:$C$19)</f>
        <v>15199</v>
      </c>
      <c r="D20" s="21">
        <f>SUBTOTAL(109,'% Minority Trend'!$D$6:$D$19)</f>
        <v>113207</v>
      </c>
      <c r="E20" s="22">
        <f>'% Minority Trend'!$C$20 / '% Minority Trend'!$D$20</f>
        <v>0.13425848224933087</v>
      </c>
      <c r="F20" s="21">
        <f>SUBTOTAL(109,'% Minority Trend'!$F$6:$F$19)</f>
        <v>16361</v>
      </c>
      <c r="G20" s="21">
        <f>SUBTOTAL(109,'% Minority Trend'!$G$6:$G$19)</f>
        <v>111861</v>
      </c>
      <c r="H20" s="22">
        <f>'% Minority Trend'!$F$20 / '% Minority Trend'!$G$20</f>
        <v>0.14626187858145376</v>
      </c>
      <c r="I20" s="21">
        <f>SUBTOTAL(109,'% Minority Trend'!$I$6:$I$19)</f>
        <v>17457</v>
      </c>
      <c r="J20" s="21">
        <f>SUBTOTAL(109,'% Minority Trend'!$J$6:$J$19)</f>
        <v>108997</v>
      </c>
      <c r="K20" s="22">
        <f>'% Minority Trend'!$I$20 / '% Minority Trend'!$J$20</f>
        <v>0.16016037138636843</v>
      </c>
      <c r="L20" s="21">
        <f>SUBTOTAL(109,'% Minority Trend'!$L$6:$L$19)</f>
        <v>18507</v>
      </c>
      <c r="M20" s="21">
        <f>SUBTOTAL(109,'% Minority Trend'!$M$6:$M$19)</f>
        <v>107342</v>
      </c>
      <c r="N20" s="22">
        <f>'% Minority Trend'!$L$20 / '% Minority Trend'!$M$20</f>
        <v>0.17241154440945763</v>
      </c>
      <c r="O20" s="21">
        <f>SUBTOTAL(109,'% Minority Trend'!$O$6:$O$19)</f>
        <v>19710</v>
      </c>
      <c r="P20" s="21">
        <f>SUBTOTAL(109,'% Minority Trend'!$P$6:$P$19)</f>
        <v>105536</v>
      </c>
      <c r="Q20" s="22">
        <f>'% Minority Trend'!$O$20 / '% Minority Trend'!$P$20</f>
        <v>0.18676091570648878</v>
      </c>
      <c r="R20" s="21">
        <f>SUBTOTAL(109,'% Minority Trend'!$R$6:$R$19)</f>
        <v>20329</v>
      </c>
      <c r="S20" s="21">
        <f>SUBTOTAL(109,'% Minority Trend'!$S$6:$S$19)</f>
        <v>103751</v>
      </c>
      <c r="T20" s="22">
        <f>'% Minority Trend'!$R$20 / '% Minority Trend'!$S$20</f>
        <v>0.19594028009368583</v>
      </c>
      <c r="U20" s="21">
        <f>SUBTOTAL(109,'% Minority Trend'!$U$6:$U$19)</f>
        <v>20602</v>
      </c>
      <c r="V20" s="21">
        <f>SUBTOTAL(109,'% Minority Trend'!$V$6:$V$19)</f>
        <v>101644</v>
      </c>
      <c r="W20" s="22">
        <f>'% Minority Trend'!$U$20 / '% Minority Trend'!$V$20</f>
        <v>0.20268781236472394</v>
      </c>
      <c r="X20" s="21">
        <f>SUBTOTAL(109,'% Minority Trend'!$X$6:$X$19)</f>
        <v>20896</v>
      </c>
      <c r="Y20" s="21">
        <f>SUBTOTAL(109,'% Minority Trend'!$Y$6:$Y$19)</f>
        <v>98868</v>
      </c>
      <c r="Z20" s="22">
        <f>'% Minority Trend'!$X$20 / '% Minority Trend'!$Y$20</f>
        <v>0.21135251041793099</v>
      </c>
      <c r="AA20" s="21">
        <f>SUBTOTAL(109,'% Minority Trend'!$AA$6:$AA$19)</f>
        <v>20077</v>
      </c>
      <c r="AB20" s="21">
        <f>SUBTOTAL(109,'% Minority Trend'!$AB$6:$AB$19)</f>
        <v>94636</v>
      </c>
      <c r="AC20" s="22">
        <f>'% Minority Trend'!$AA$20 / '% Minority Trend'!$AB$20</f>
        <v>0.21214971046958875</v>
      </c>
      <c r="AD20" s="21">
        <f>SUBTOTAL(109,'% Minority Trend'!$AD$6:$AD$19)</f>
        <v>19925</v>
      </c>
      <c r="AE20" s="21">
        <f>SUBTOTAL(109,'% Minority Trend'!$AE$6:$AE$19)</f>
        <v>91944</v>
      </c>
      <c r="AF20" s="22">
        <f>'% Minority Trend'!$AD$20 / '% Minority Trend'!$AE$20</f>
        <v>0.21670799617158271</v>
      </c>
    </row>
    <row r="23" spans="2:32" ht="15" x14ac:dyDescent="0.2">
      <c r="B23" s="131" t="s">
        <v>114</v>
      </c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</row>
    <row r="24" spans="2:32" x14ac:dyDescent="0.2">
      <c r="B24" s="134" t="s">
        <v>1</v>
      </c>
      <c r="C24" s="133" t="str">
        <f>CONCATENATE(IF(RIGHT(Parameters!B1,1) = "1","Fall ", "Spring "),IF(RIGHT(Parameters!B1,1) = "1",LEFT(Parameters!B1,4) -9, LEFT(Parameters!B1,4) - 8))</f>
        <v>Fall 2010</v>
      </c>
      <c r="D24" s="133"/>
      <c r="E24" s="133"/>
      <c r="F24" s="133" t="str">
        <f>CONCATENATE(IF(RIGHT(Parameters!B1,1) = "1","Fall ", "Spring "),IF(RIGHT(Parameters!B1,1) = "1",LEFT(Parameters!B1,4) -8, LEFT(Parameters!B1,4) - 7))</f>
        <v>Fall 2011</v>
      </c>
      <c r="G24" s="133"/>
      <c r="H24" s="133"/>
      <c r="I24" s="133" t="str">
        <f>CONCATENATE(IF(RIGHT(Parameters!B1,1) = "1","Fall ", "Spring "),IF(RIGHT(Parameters!B1,1) = "1",LEFT(Parameters!B1,4) -7, LEFT(Parameters!B1,4) - 6))</f>
        <v>Fall 2012</v>
      </c>
      <c r="J24" s="133"/>
      <c r="K24" s="133"/>
      <c r="L24" s="133" t="str">
        <f>CONCATENATE(IF(RIGHT(Parameters!B1,1) = "1","Fall ", "Spring "),IF(RIGHT(Parameters!B1,1) = "1",LEFT(Parameters!B1,4) -6, LEFT(Parameters!B1,4) - 5))</f>
        <v>Fall 2013</v>
      </c>
      <c r="M24" s="133"/>
      <c r="N24" s="133"/>
      <c r="O24" s="133" t="str">
        <f>CONCATENATE(IF(RIGHT(Parameters!B1,1) = "1","Fall ", "Spring "),IF(RIGHT(Parameters!B1,1) = "1",LEFT(Parameters!B1,4) -5, LEFT(Parameters!B1,4) - 4))</f>
        <v>Fall 2014</v>
      </c>
      <c r="P24" s="133"/>
      <c r="Q24" s="133"/>
      <c r="R24" s="133" t="str">
        <f>CONCATENATE(IF(RIGHT(Parameters!B1,1) = "1","Fall ", "Spring "),IF(RIGHT(Parameters!B1,1) = "1",LEFT(Parameters!B1,4) -4, LEFT(Parameters!B1,4) - 3))</f>
        <v>Fall 2015</v>
      </c>
      <c r="S24" s="133"/>
      <c r="T24" s="133"/>
      <c r="U24" s="133" t="str">
        <f>CONCATENATE(IF(RIGHT(Parameters!B1,1) = "1","Fall ", "Spring "),IF(RIGHT(Parameters!B1,1) = "1",LEFT(Parameters!B1,4) -3, LEFT(Parameters!B1,4) -2 ))</f>
        <v>Fall 2016</v>
      </c>
      <c r="V24" s="133"/>
      <c r="W24" s="133"/>
      <c r="X24" s="133" t="str">
        <f>CONCATENATE(IF(RIGHT(Parameters!B1,1) = "1","Fall ", "Spring "),IF(RIGHT(Parameters!B1,1) = "1",LEFT(Parameters!B1,4) -2, LEFT(Parameters!B1,4) -1 ))</f>
        <v>Fall 2017</v>
      </c>
      <c r="Y24" s="133"/>
      <c r="Z24" s="133"/>
      <c r="AA24" s="133" t="str">
        <f>CONCATENATE(IF(RIGHT(Parameters!B1,1) = "1","Fall ", "Spring "),IF(RIGHT(Parameters!B1,1) = "1",LEFT(Parameters!B1,4) -1, LEFT(Parameters!B1,4) ))</f>
        <v>Fall 2018</v>
      </c>
      <c r="AB24" s="133"/>
      <c r="AC24" s="133"/>
      <c r="AD24" s="133" t="str">
        <f>CONCATENATE(IF(RIGHT(Parameters!B1,1) = "1","Fall ", "Spring "),IF(RIGHT(Parameters!B1,1) = "1",LEFT(Parameters!B1,4), LEFT(Parameters!B1,4) + 1))</f>
        <v>Fall 2019</v>
      </c>
      <c r="AE24" s="133"/>
      <c r="AF24" s="133"/>
    </row>
    <row r="25" spans="2:32" ht="42.75" x14ac:dyDescent="0.2">
      <c r="B25" s="135"/>
      <c r="C25" s="54" t="s">
        <v>81</v>
      </c>
      <c r="D25" s="54" t="s">
        <v>82</v>
      </c>
      <c r="E25" s="54" t="s">
        <v>83</v>
      </c>
      <c r="F25" s="54" t="s">
        <v>81</v>
      </c>
      <c r="G25" s="54" t="s">
        <v>82</v>
      </c>
      <c r="H25" s="54" t="s">
        <v>83</v>
      </c>
      <c r="I25" s="54" t="s">
        <v>81</v>
      </c>
      <c r="J25" s="54" t="s">
        <v>82</v>
      </c>
      <c r="K25" s="54" t="s">
        <v>83</v>
      </c>
      <c r="L25" s="54" t="s">
        <v>81</v>
      </c>
      <c r="M25" s="54" t="s">
        <v>82</v>
      </c>
      <c r="N25" s="54" t="s">
        <v>83</v>
      </c>
      <c r="O25" s="54" t="s">
        <v>81</v>
      </c>
      <c r="P25" s="54" t="s">
        <v>82</v>
      </c>
      <c r="Q25" s="54" t="s">
        <v>83</v>
      </c>
      <c r="R25" s="54" t="s">
        <v>81</v>
      </c>
      <c r="S25" s="54" t="s">
        <v>82</v>
      </c>
      <c r="T25" s="54" t="s">
        <v>83</v>
      </c>
      <c r="U25" s="54" t="s">
        <v>81</v>
      </c>
      <c r="V25" s="54" t="s">
        <v>82</v>
      </c>
      <c r="W25" s="54" t="s">
        <v>83</v>
      </c>
      <c r="X25" s="54" t="s">
        <v>81</v>
      </c>
      <c r="Y25" s="54" t="s">
        <v>82</v>
      </c>
      <c r="Z25" s="54" t="s">
        <v>83</v>
      </c>
      <c r="AA25" s="54" t="s">
        <v>81</v>
      </c>
      <c r="AB25" s="54" t="s">
        <v>82</v>
      </c>
      <c r="AC25" s="54" t="s">
        <v>83</v>
      </c>
      <c r="AD25" s="54" t="s">
        <v>81</v>
      </c>
      <c r="AE25" s="54" t="s">
        <v>82</v>
      </c>
      <c r="AF25" s="54" t="s">
        <v>83</v>
      </c>
    </row>
    <row r="26" spans="2:32" ht="17.25" hidden="1" customHeight="1" thickBot="1" x14ac:dyDescent="0.25">
      <c r="B26" s="26" t="s">
        <v>2</v>
      </c>
      <c r="C26" s="26" t="s">
        <v>84</v>
      </c>
      <c r="D26" s="26" t="s">
        <v>85</v>
      </c>
      <c r="E26" s="26" t="s">
        <v>86</v>
      </c>
      <c r="F26" s="26" t="s">
        <v>87</v>
      </c>
      <c r="G26" s="26" t="s">
        <v>88</v>
      </c>
      <c r="H26" s="26" t="s">
        <v>89</v>
      </c>
      <c r="I26" s="26" t="s">
        <v>90</v>
      </c>
      <c r="J26" s="26" t="s">
        <v>91</v>
      </c>
      <c r="K26" s="26" t="s">
        <v>92</v>
      </c>
      <c r="L26" s="26" t="s">
        <v>93</v>
      </c>
      <c r="M26" s="26" t="s">
        <v>94</v>
      </c>
      <c r="N26" s="26" t="s">
        <v>95</v>
      </c>
      <c r="O26" s="26" t="s">
        <v>96</v>
      </c>
      <c r="P26" s="26" t="s">
        <v>97</v>
      </c>
      <c r="Q26" s="26" t="s">
        <v>98</v>
      </c>
      <c r="R26" s="26" t="s">
        <v>99</v>
      </c>
      <c r="S26" s="26" t="s">
        <v>100</v>
      </c>
      <c r="T26" s="26" t="s">
        <v>101</v>
      </c>
      <c r="U26" s="26" t="s">
        <v>102</v>
      </c>
      <c r="V26" s="26" t="s">
        <v>103</v>
      </c>
      <c r="W26" s="26" t="s">
        <v>104</v>
      </c>
      <c r="X26" s="26" t="s">
        <v>105</v>
      </c>
      <c r="Y26" s="26" t="s">
        <v>106</v>
      </c>
      <c r="Z26" s="26" t="s">
        <v>107</v>
      </c>
      <c r="AA26" s="26" t="s">
        <v>108</v>
      </c>
      <c r="AB26" s="26" t="s">
        <v>109</v>
      </c>
      <c r="AC26" s="26" t="s">
        <v>110</v>
      </c>
      <c r="AD26" s="26" t="s">
        <v>111</v>
      </c>
      <c r="AE26" s="26" t="s">
        <v>112</v>
      </c>
      <c r="AF26" s="26" t="s">
        <v>113</v>
      </c>
    </row>
    <row r="27" spans="2:32" x14ac:dyDescent="0.2">
      <c r="B27" s="67" t="s">
        <v>13</v>
      </c>
      <c r="C27" s="57">
        <v>1104</v>
      </c>
      <c r="D27" s="57">
        <v>8516</v>
      </c>
      <c r="E27" s="68">
        <v>0.129638</v>
      </c>
      <c r="F27" s="57">
        <v>1185</v>
      </c>
      <c r="G27" s="57">
        <v>8760</v>
      </c>
      <c r="H27" s="68">
        <v>0.135273</v>
      </c>
      <c r="I27" s="57">
        <v>1287</v>
      </c>
      <c r="J27" s="57">
        <v>8805</v>
      </c>
      <c r="K27" s="68">
        <v>0.14616599999999999</v>
      </c>
      <c r="L27" s="57">
        <v>1453</v>
      </c>
      <c r="M27" s="57">
        <v>9120</v>
      </c>
      <c r="N27" s="68">
        <v>0.15931999999999999</v>
      </c>
      <c r="O27" s="57">
        <v>1543</v>
      </c>
      <c r="P27" s="57">
        <v>9091</v>
      </c>
      <c r="Q27" s="68">
        <v>0.16972799999999999</v>
      </c>
      <c r="R27" s="57">
        <v>1661</v>
      </c>
      <c r="S27" s="57">
        <v>8960</v>
      </c>
      <c r="T27" s="68">
        <v>0.18537899999999999</v>
      </c>
      <c r="U27" s="57">
        <v>1723</v>
      </c>
      <c r="V27" s="57">
        <v>8849</v>
      </c>
      <c r="W27" s="68">
        <v>0.194711</v>
      </c>
      <c r="X27" s="57">
        <v>1672</v>
      </c>
      <c r="Y27" s="57">
        <v>8433</v>
      </c>
      <c r="Z27" s="68">
        <v>0.198268</v>
      </c>
      <c r="AA27" s="57">
        <v>1447</v>
      </c>
      <c r="AB27" s="57">
        <v>7887</v>
      </c>
      <c r="AC27" s="68">
        <v>0.18346599999999999</v>
      </c>
      <c r="AD27" s="57">
        <v>1365</v>
      </c>
      <c r="AE27" s="57">
        <v>7537</v>
      </c>
      <c r="AF27" s="68">
        <v>0.18110599999999999</v>
      </c>
    </row>
    <row r="28" spans="2:32" x14ac:dyDescent="0.2">
      <c r="B28" s="69" t="s">
        <v>14</v>
      </c>
      <c r="C28" s="59">
        <v>743</v>
      </c>
      <c r="D28" s="59">
        <v>6894</v>
      </c>
      <c r="E28" s="70">
        <v>0.10777399999999999</v>
      </c>
      <c r="F28" s="59">
        <v>825</v>
      </c>
      <c r="G28" s="59">
        <v>6776</v>
      </c>
      <c r="H28" s="70">
        <v>0.121753</v>
      </c>
      <c r="I28" s="59">
        <v>852</v>
      </c>
      <c r="J28" s="59">
        <v>6147</v>
      </c>
      <c r="K28" s="70">
        <v>0.138604</v>
      </c>
      <c r="L28" s="59">
        <v>1032</v>
      </c>
      <c r="M28" s="59">
        <v>6026</v>
      </c>
      <c r="N28" s="70">
        <v>0.17125699999999999</v>
      </c>
      <c r="O28" s="59">
        <v>1104</v>
      </c>
      <c r="P28" s="59">
        <v>5804</v>
      </c>
      <c r="Q28" s="70">
        <v>0.19021299999999999</v>
      </c>
      <c r="R28" s="59">
        <v>1130</v>
      </c>
      <c r="S28" s="59">
        <v>5611</v>
      </c>
      <c r="T28" s="70">
        <v>0.20139000000000001</v>
      </c>
      <c r="U28" s="59">
        <v>1120</v>
      </c>
      <c r="V28" s="59">
        <v>5365</v>
      </c>
      <c r="W28" s="70">
        <v>0.20876</v>
      </c>
      <c r="X28" s="59">
        <v>1173</v>
      </c>
      <c r="Y28" s="59">
        <v>5405</v>
      </c>
      <c r="Z28" s="70">
        <v>0.21702099999999999</v>
      </c>
      <c r="AA28" s="59">
        <v>1122</v>
      </c>
      <c r="AB28" s="59">
        <v>4985</v>
      </c>
      <c r="AC28" s="70">
        <v>0.225075</v>
      </c>
      <c r="AD28" s="59">
        <v>1000</v>
      </c>
      <c r="AE28" s="59">
        <v>4669</v>
      </c>
      <c r="AF28" s="70">
        <v>0.21417800000000001</v>
      </c>
    </row>
    <row r="29" spans="2:32" x14ac:dyDescent="0.2">
      <c r="B29" s="69" t="s">
        <v>15</v>
      </c>
      <c r="C29" s="59">
        <v>1131</v>
      </c>
      <c r="D29" s="59">
        <v>1147</v>
      </c>
      <c r="E29" s="70">
        <v>0.98604999999999998</v>
      </c>
      <c r="F29" s="59">
        <v>1102</v>
      </c>
      <c r="G29" s="59">
        <v>1106</v>
      </c>
      <c r="H29" s="70">
        <v>0.99638300000000002</v>
      </c>
      <c r="I29" s="59">
        <v>1181</v>
      </c>
      <c r="J29" s="59">
        <v>1190</v>
      </c>
      <c r="K29" s="70">
        <v>0.99243599999999998</v>
      </c>
      <c r="L29" s="59">
        <v>1142</v>
      </c>
      <c r="M29" s="59">
        <v>1154</v>
      </c>
      <c r="N29" s="70">
        <v>0.98960099999999995</v>
      </c>
      <c r="O29" s="59">
        <v>928</v>
      </c>
      <c r="P29" s="59">
        <v>940</v>
      </c>
      <c r="Q29" s="70">
        <v>0.98723399999999994</v>
      </c>
      <c r="R29" s="59">
        <v>632</v>
      </c>
      <c r="S29" s="59">
        <v>645</v>
      </c>
      <c r="T29" s="70">
        <v>0.97984400000000005</v>
      </c>
      <c r="U29" s="59">
        <v>647</v>
      </c>
      <c r="V29" s="59">
        <v>656</v>
      </c>
      <c r="W29" s="70">
        <v>0.98628000000000005</v>
      </c>
      <c r="X29" s="59">
        <v>637</v>
      </c>
      <c r="Y29" s="59">
        <v>651</v>
      </c>
      <c r="Z29" s="70">
        <v>0.97849399999999997</v>
      </c>
      <c r="AA29" s="59">
        <v>434</v>
      </c>
      <c r="AB29" s="59">
        <v>440</v>
      </c>
      <c r="AC29" s="70">
        <v>0.98636299999999999</v>
      </c>
      <c r="AD29" s="59">
        <v>584</v>
      </c>
      <c r="AE29" s="59">
        <v>587</v>
      </c>
      <c r="AF29" s="70">
        <v>0.99488900000000002</v>
      </c>
    </row>
    <row r="30" spans="2:32" x14ac:dyDescent="0.2">
      <c r="B30" s="69" t="s">
        <v>16</v>
      </c>
      <c r="C30" s="59">
        <v>557</v>
      </c>
      <c r="D30" s="59">
        <v>6013</v>
      </c>
      <c r="E30" s="70">
        <v>9.2632000000000006E-2</v>
      </c>
      <c r="F30" s="59">
        <v>581</v>
      </c>
      <c r="G30" s="59">
        <v>5656</v>
      </c>
      <c r="H30" s="70">
        <v>0.10272199999999999</v>
      </c>
      <c r="I30" s="59">
        <v>541</v>
      </c>
      <c r="J30" s="59">
        <v>5346</v>
      </c>
      <c r="K30" s="70">
        <v>0.101197</v>
      </c>
      <c r="L30" s="59">
        <v>590</v>
      </c>
      <c r="M30" s="59">
        <v>5018</v>
      </c>
      <c r="N30" s="70">
        <v>0.117576</v>
      </c>
      <c r="O30" s="59">
        <v>620</v>
      </c>
      <c r="P30" s="59">
        <v>4685</v>
      </c>
      <c r="Q30" s="70">
        <v>0.13233700000000001</v>
      </c>
      <c r="R30" s="59">
        <v>634</v>
      </c>
      <c r="S30" s="59">
        <v>4378</v>
      </c>
      <c r="T30" s="70">
        <v>0.144814</v>
      </c>
      <c r="U30" s="59">
        <v>600</v>
      </c>
      <c r="V30" s="59">
        <v>4216</v>
      </c>
      <c r="W30" s="70">
        <v>0.142314</v>
      </c>
      <c r="X30" s="59">
        <v>611</v>
      </c>
      <c r="Y30" s="59">
        <v>4153</v>
      </c>
      <c r="Z30" s="70">
        <v>0.147122</v>
      </c>
      <c r="AA30" s="59">
        <v>536</v>
      </c>
      <c r="AB30" s="59">
        <v>3793</v>
      </c>
      <c r="AC30" s="70">
        <v>0.14131199999999999</v>
      </c>
      <c r="AD30" s="59">
        <v>523</v>
      </c>
      <c r="AE30" s="59">
        <v>3600</v>
      </c>
      <c r="AF30" s="70">
        <v>0.14527699999999999</v>
      </c>
    </row>
    <row r="31" spans="2:32" x14ac:dyDescent="0.2">
      <c r="B31" s="69" t="s">
        <v>17</v>
      </c>
      <c r="C31" s="59">
        <v>1026</v>
      </c>
      <c r="D31" s="59">
        <v>5842</v>
      </c>
      <c r="E31" s="70">
        <v>0.175624</v>
      </c>
      <c r="F31" s="59">
        <v>1228</v>
      </c>
      <c r="G31" s="59">
        <v>5721</v>
      </c>
      <c r="H31" s="70">
        <v>0.214647</v>
      </c>
      <c r="I31" s="59">
        <v>1287</v>
      </c>
      <c r="J31" s="59">
        <v>5278</v>
      </c>
      <c r="K31" s="70">
        <v>0.243842</v>
      </c>
      <c r="L31" s="59">
        <v>1435</v>
      </c>
      <c r="M31" s="59">
        <v>5332</v>
      </c>
      <c r="N31" s="70">
        <v>0.26912900000000001</v>
      </c>
      <c r="O31" s="59">
        <v>1639</v>
      </c>
      <c r="P31" s="59">
        <v>5633</v>
      </c>
      <c r="Q31" s="70">
        <v>0.29096300000000003</v>
      </c>
      <c r="R31" s="59">
        <v>1954</v>
      </c>
      <c r="S31" s="59">
        <v>6030</v>
      </c>
      <c r="T31" s="70">
        <v>0.324046</v>
      </c>
      <c r="U31" s="59">
        <v>2081</v>
      </c>
      <c r="V31" s="59">
        <v>6014</v>
      </c>
      <c r="W31" s="70">
        <v>0.34602500000000003</v>
      </c>
      <c r="X31" s="59">
        <v>2178</v>
      </c>
      <c r="Y31" s="59">
        <v>5867</v>
      </c>
      <c r="Z31" s="70">
        <v>0.371228</v>
      </c>
      <c r="AA31" s="59">
        <v>2188</v>
      </c>
      <c r="AB31" s="59">
        <v>5479</v>
      </c>
      <c r="AC31" s="70">
        <v>0.39934199999999997</v>
      </c>
      <c r="AD31" s="59">
        <v>2181</v>
      </c>
      <c r="AE31" s="59">
        <v>5198</v>
      </c>
      <c r="AF31" s="70">
        <v>0.41958400000000001</v>
      </c>
    </row>
    <row r="32" spans="2:32" x14ac:dyDescent="0.2">
      <c r="B32" s="69" t="s">
        <v>18</v>
      </c>
      <c r="C32" s="59">
        <v>780</v>
      </c>
      <c r="D32" s="59">
        <v>6615</v>
      </c>
      <c r="E32" s="70">
        <v>0.117913</v>
      </c>
      <c r="F32" s="59">
        <v>805</v>
      </c>
      <c r="G32" s="59">
        <v>6542</v>
      </c>
      <c r="H32" s="70">
        <v>0.12305099999999999</v>
      </c>
      <c r="I32" s="59">
        <v>779</v>
      </c>
      <c r="J32" s="59">
        <v>5990</v>
      </c>
      <c r="K32" s="70">
        <v>0.13005</v>
      </c>
      <c r="L32" s="59">
        <v>778</v>
      </c>
      <c r="M32" s="59">
        <v>5726</v>
      </c>
      <c r="N32" s="70">
        <v>0.13587099999999999</v>
      </c>
      <c r="O32" s="59">
        <v>855</v>
      </c>
      <c r="P32" s="59">
        <v>5423</v>
      </c>
      <c r="Q32" s="70">
        <v>0.157661</v>
      </c>
      <c r="R32" s="59">
        <v>797</v>
      </c>
      <c r="S32" s="59">
        <v>5069</v>
      </c>
      <c r="T32" s="70">
        <v>0.15723000000000001</v>
      </c>
      <c r="U32" s="59">
        <v>756</v>
      </c>
      <c r="V32" s="59">
        <v>4680</v>
      </c>
      <c r="W32" s="70">
        <v>0.16153799999999999</v>
      </c>
      <c r="X32" s="59">
        <v>661</v>
      </c>
      <c r="Y32" s="59">
        <v>4137</v>
      </c>
      <c r="Z32" s="70">
        <v>0.159777</v>
      </c>
      <c r="AA32" s="59">
        <v>503</v>
      </c>
      <c r="AB32" s="59">
        <v>3418</v>
      </c>
      <c r="AC32" s="70">
        <v>0.14716199999999999</v>
      </c>
      <c r="AD32" s="59">
        <v>367</v>
      </c>
      <c r="AE32" s="59">
        <v>3151</v>
      </c>
      <c r="AF32" s="70">
        <v>0.11647</v>
      </c>
    </row>
    <row r="33" spans="2:32" x14ac:dyDescent="0.2">
      <c r="B33" s="69" t="s">
        <v>19</v>
      </c>
      <c r="C33" s="59">
        <v>1842</v>
      </c>
      <c r="D33" s="59">
        <v>12000</v>
      </c>
      <c r="E33" s="70">
        <v>0.153499</v>
      </c>
      <c r="F33" s="59">
        <v>1938</v>
      </c>
      <c r="G33" s="59">
        <v>12276</v>
      </c>
      <c r="H33" s="70">
        <v>0.15786900000000001</v>
      </c>
      <c r="I33" s="59">
        <v>2150</v>
      </c>
      <c r="J33" s="59">
        <v>12579</v>
      </c>
      <c r="K33" s="70">
        <v>0.17091899999999999</v>
      </c>
      <c r="L33" s="59">
        <v>2145</v>
      </c>
      <c r="M33" s="59">
        <v>11986</v>
      </c>
      <c r="N33" s="70">
        <v>0.17895800000000001</v>
      </c>
      <c r="O33" s="59">
        <v>2312</v>
      </c>
      <c r="P33" s="59">
        <v>11667</v>
      </c>
      <c r="Q33" s="70">
        <v>0.19816500000000001</v>
      </c>
      <c r="R33" s="59">
        <v>2399</v>
      </c>
      <c r="S33" s="59">
        <v>11176</v>
      </c>
      <c r="T33" s="70">
        <v>0.21465600000000001</v>
      </c>
      <c r="U33" s="59">
        <v>2296</v>
      </c>
      <c r="V33" s="59">
        <v>10329</v>
      </c>
      <c r="W33" s="70">
        <v>0.22228600000000001</v>
      </c>
      <c r="X33" s="59">
        <v>2256</v>
      </c>
      <c r="Y33" s="59">
        <v>9874</v>
      </c>
      <c r="Z33" s="70">
        <v>0.22847799999999999</v>
      </c>
      <c r="AA33" s="59">
        <v>2085</v>
      </c>
      <c r="AB33" s="59">
        <v>8977</v>
      </c>
      <c r="AC33" s="70">
        <v>0.23225999999999999</v>
      </c>
      <c r="AD33" s="59">
        <v>1925</v>
      </c>
      <c r="AE33" s="59">
        <v>8201</v>
      </c>
      <c r="AF33" s="70">
        <v>0.23472699999999999</v>
      </c>
    </row>
    <row r="34" spans="2:32" x14ac:dyDescent="0.2">
      <c r="B34" s="69" t="s">
        <v>20</v>
      </c>
      <c r="C34" s="59">
        <v>1241</v>
      </c>
      <c r="D34" s="59">
        <v>9444</v>
      </c>
      <c r="E34" s="70">
        <v>0.131406</v>
      </c>
      <c r="F34" s="59">
        <v>1438</v>
      </c>
      <c r="G34" s="59">
        <v>9202</v>
      </c>
      <c r="H34" s="70">
        <v>0.15626999999999999</v>
      </c>
      <c r="I34" s="59">
        <v>1495</v>
      </c>
      <c r="J34" s="59">
        <v>8880</v>
      </c>
      <c r="K34" s="70">
        <v>0.168355</v>
      </c>
      <c r="L34" s="59">
        <v>1429</v>
      </c>
      <c r="M34" s="59">
        <v>8588</v>
      </c>
      <c r="N34" s="70">
        <v>0.16639399999999999</v>
      </c>
      <c r="O34" s="59">
        <v>1611</v>
      </c>
      <c r="P34" s="59">
        <v>8335</v>
      </c>
      <c r="Q34" s="70">
        <v>0.19328100000000001</v>
      </c>
      <c r="R34" s="59">
        <v>1656</v>
      </c>
      <c r="S34" s="59">
        <v>8058</v>
      </c>
      <c r="T34" s="70">
        <v>0.20551</v>
      </c>
      <c r="U34" s="59">
        <v>1563</v>
      </c>
      <c r="V34" s="59">
        <v>7543</v>
      </c>
      <c r="W34" s="70">
        <v>0.20721100000000001</v>
      </c>
      <c r="X34" s="59">
        <v>1608</v>
      </c>
      <c r="Y34" s="59">
        <v>7320</v>
      </c>
      <c r="Z34" s="70">
        <v>0.21967200000000001</v>
      </c>
      <c r="AA34" s="59">
        <v>1615</v>
      </c>
      <c r="AB34" s="59">
        <v>7138</v>
      </c>
      <c r="AC34" s="70">
        <v>0.22625300000000001</v>
      </c>
      <c r="AD34" s="59">
        <v>1555</v>
      </c>
      <c r="AE34" s="59">
        <v>6896</v>
      </c>
      <c r="AF34" s="70">
        <v>0.225493</v>
      </c>
    </row>
    <row r="35" spans="2:32" x14ac:dyDescent="0.2">
      <c r="B35" s="69" t="s">
        <v>21</v>
      </c>
      <c r="C35" s="59">
        <v>520</v>
      </c>
      <c r="D35" s="59">
        <v>5018</v>
      </c>
      <c r="E35" s="70">
        <v>0.103626</v>
      </c>
      <c r="F35" s="59">
        <v>489</v>
      </c>
      <c r="G35" s="59">
        <v>4936</v>
      </c>
      <c r="H35" s="70">
        <v>9.9068000000000003E-2</v>
      </c>
      <c r="I35" s="59">
        <v>580</v>
      </c>
      <c r="J35" s="59">
        <v>4895</v>
      </c>
      <c r="K35" s="70">
        <v>0.118488</v>
      </c>
      <c r="L35" s="59">
        <v>593</v>
      </c>
      <c r="M35" s="59">
        <v>4786</v>
      </c>
      <c r="N35" s="70">
        <v>0.123903</v>
      </c>
      <c r="O35" s="59">
        <v>575</v>
      </c>
      <c r="P35" s="59">
        <v>4397</v>
      </c>
      <c r="Q35" s="70">
        <v>0.13077</v>
      </c>
      <c r="R35" s="59">
        <v>563</v>
      </c>
      <c r="S35" s="59">
        <v>4107</v>
      </c>
      <c r="T35" s="70">
        <v>0.13708300000000001</v>
      </c>
      <c r="U35" s="59">
        <v>545</v>
      </c>
      <c r="V35" s="59">
        <v>3752</v>
      </c>
      <c r="W35" s="70">
        <v>0.145255</v>
      </c>
      <c r="X35" s="59">
        <v>502</v>
      </c>
      <c r="Y35" s="59">
        <v>3307</v>
      </c>
      <c r="Z35" s="70">
        <v>0.15179899999999999</v>
      </c>
      <c r="AA35" s="59">
        <v>391</v>
      </c>
      <c r="AB35" s="59">
        <v>2953</v>
      </c>
      <c r="AC35" s="70">
        <v>0.132407</v>
      </c>
      <c r="AD35" s="59">
        <v>390</v>
      </c>
      <c r="AE35" s="59">
        <v>2687</v>
      </c>
      <c r="AF35" s="70">
        <v>0.14514299999999999</v>
      </c>
    </row>
    <row r="36" spans="2:32" x14ac:dyDescent="0.2">
      <c r="B36" s="69" t="s">
        <v>22</v>
      </c>
      <c r="C36" s="59">
        <v>347</v>
      </c>
      <c r="D36" s="59">
        <v>2682</v>
      </c>
      <c r="E36" s="70">
        <v>0.129381</v>
      </c>
      <c r="F36" s="59">
        <v>384</v>
      </c>
      <c r="G36" s="59">
        <v>2683</v>
      </c>
      <c r="H36" s="70">
        <v>0.143123</v>
      </c>
      <c r="I36" s="59">
        <v>422</v>
      </c>
      <c r="J36" s="59">
        <v>2662</v>
      </c>
      <c r="K36" s="70">
        <v>0.158527</v>
      </c>
      <c r="L36" s="59">
        <v>403</v>
      </c>
      <c r="M36" s="59">
        <v>2597</v>
      </c>
      <c r="N36" s="70">
        <v>0.15517900000000001</v>
      </c>
      <c r="O36" s="59">
        <v>392</v>
      </c>
      <c r="P36" s="59">
        <v>2503</v>
      </c>
      <c r="Q36" s="70">
        <v>0.156612</v>
      </c>
      <c r="R36" s="59">
        <v>354</v>
      </c>
      <c r="S36" s="59">
        <v>2215</v>
      </c>
      <c r="T36" s="70">
        <v>0.15981899999999999</v>
      </c>
      <c r="U36" s="59">
        <v>343</v>
      </c>
      <c r="V36" s="59">
        <v>2065</v>
      </c>
      <c r="W36" s="70">
        <v>0.166101</v>
      </c>
      <c r="X36" s="59">
        <v>309</v>
      </c>
      <c r="Y36" s="59">
        <v>1792</v>
      </c>
      <c r="Z36" s="70">
        <v>0.172433</v>
      </c>
      <c r="AA36" s="59">
        <v>282</v>
      </c>
      <c r="AB36" s="59">
        <v>1552</v>
      </c>
      <c r="AC36" s="70">
        <v>0.181701</v>
      </c>
      <c r="AD36" s="59">
        <v>313</v>
      </c>
      <c r="AE36" s="59">
        <v>1578</v>
      </c>
      <c r="AF36" s="70">
        <v>0.198352</v>
      </c>
    </row>
    <row r="37" spans="2:32" x14ac:dyDescent="0.2">
      <c r="B37" s="69" t="s">
        <v>23</v>
      </c>
      <c r="C37" s="59">
        <v>1153</v>
      </c>
      <c r="D37" s="59">
        <v>7453</v>
      </c>
      <c r="E37" s="70">
        <v>0.15470200000000001</v>
      </c>
      <c r="F37" s="59">
        <v>1289</v>
      </c>
      <c r="G37" s="59">
        <v>7521</v>
      </c>
      <c r="H37" s="70">
        <v>0.17138600000000001</v>
      </c>
      <c r="I37" s="59">
        <v>1407</v>
      </c>
      <c r="J37" s="59">
        <v>7330</v>
      </c>
      <c r="K37" s="70">
        <v>0.19195000000000001</v>
      </c>
      <c r="L37" s="59">
        <v>1536</v>
      </c>
      <c r="M37" s="59">
        <v>7296</v>
      </c>
      <c r="N37" s="70">
        <v>0.21052599999999999</v>
      </c>
      <c r="O37" s="59">
        <v>1604</v>
      </c>
      <c r="P37" s="59">
        <v>7087</v>
      </c>
      <c r="Q37" s="70">
        <v>0.226329</v>
      </c>
      <c r="R37" s="59">
        <v>1610</v>
      </c>
      <c r="S37" s="59">
        <v>7000</v>
      </c>
      <c r="T37" s="70">
        <v>0.22999900000000001</v>
      </c>
      <c r="U37" s="59">
        <v>1565</v>
      </c>
      <c r="V37" s="59">
        <v>6830</v>
      </c>
      <c r="W37" s="70">
        <v>0.22913600000000001</v>
      </c>
      <c r="X37" s="59">
        <v>1670</v>
      </c>
      <c r="Y37" s="59">
        <v>6639</v>
      </c>
      <c r="Z37" s="70">
        <v>0.25154300000000002</v>
      </c>
      <c r="AA37" s="59">
        <v>1631</v>
      </c>
      <c r="AB37" s="59">
        <v>6629</v>
      </c>
      <c r="AC37" s="70">
        <v>0.24604000000000001</v>
      </c>
      <c r="AD37" s="59">
        <v>1658</v>
      </c>
      <c r="AE37" s="59">
        <v>6629</v>
      </c>
      <c r="AF37" s="70">
        <v>0.25011299999999997</v>
      </c>
    </row>
    <row r="38" spans="2:32" x14ac:dyDescent="0.2">
      <c r="B38" s="69" t="s">
        <v>24</v>
      </c>
      <c r="C38" s="59">
        <v>789</v>
      </c>
      <c r="D38" s="59">
        <v>6724</v>
      </c>
      <c r="E38" s="70">
        <v>0.11734</v>
      </c>
      <c r="F38" s="59">
        <v>913</v>
      </c>
      <c r="G38" s="59">
        <v>6798</v>
      </c>
      <c r="H38" s="70">
        <v>0.13430400000000001</v>
      </c>
      <c r="I38" s="59">
        <v>990</v>
      </c>
      <c r="J38" s="59">
        <v>6464</v>
      </c>
      <c r="K38" s="70">
        <v>0.15315500000000001</v>
      </c>
      <c r="L38" s="59">
        <v>1117</v>
      </c>
      <c r="M38" s="59">
        <v>6341</v>
      </c>
      <c r="N38" s="70">
        <v>0.17615500000000001</v>
      </c>
      <c r="O38" s="59">
        <v>1177</v>
      </c>
      <c r="P38" s="59">
        <v>6154</v>
      </c>
      <c r="Q38" s="70">
        <v>0.19125700000000001</v>
      </c>
      <c r="R38" s="59">
        <v>1193</v>
      </c>
      <c r="S38" s="59">
        <v>5890</v>
      </c>
      <c r="T38" s="70">
        <v>0.202546</v>
      </c>
      <c r="U38" s="59">
        <v>1270</v>
      </c>
      <c r="V38" s="59">
        <v>5793</v>
      </c>
      <c r="W38" s="70">
        <v>0.21923000000000001</v>
      </c>
      <c r="X38" s="59">
        <v>1199</v>
      </c>
      <c r="Y38" s="59">
        <v>5488</v>
      </c>
      <c r="Z38" s="70">
        <v>0.218476</v>
      </c>
      <c r="AA38" s="59">
        <v>1266</v>
      </c>
      <c r="AB38" s="59">
        <v>5415</v>
      </c>
      <c r="AC38" s="70">
        <v>0.233795</v>
      </c>
      <c r="AD38" s="59">
        <v>1291</v>
      </c>
      <c r="AE38" s="59">
        <v>5196</v>
      </c>
      <c r="AF38" s="70">
        <v>0.24845999999999999</v>
      </c>
    </row>
    <row r="39" spans="2:32" x14ac:dyDescent="0.2">
      <c r="B39" s="69" t="s">
        <v>25</v>
      </c>
      <c r="C39" s="59">
        <v>658</v>
      </c>
      <c r="D39" s="59">
        <v>7492</v>
      </c>
      <c r="E39" s="70">
        <v>8.7827000000000002E-2</v>
      </c>
      <c r="F39" s="59">
        <v>673</v>
      </c>
      <c r="G39" s="59">
        <v>7472</v>
      </c>
      <c r="H39" s="70">
        <v>9.0068999999999996E-2</v>
      </c>
      <c r="I39" s="59">
        <v>716</v>
      </c>
      <c r="J39" s="59">
        <v>7434</v>
      </c>
      <c r="K39" s="70">
        <v>9.6313999999999997E-2</v>
      </c>
      <c r="L39" s="59">
        <v>772</v>
      </c>
      <c r="M39" s="59">
        <v>7293</v>
      </c>
      <c r="N39" s="70">
        <v>0.105854</v>
      </c>
      <c r="O39" s="59">
        <v>836</v>
      </c>
      <c r="P39" s="59">
        <v>7326</v>
      </c>
      <c r="Q39" s="70">
        <v>0.11411399999999999</v>
      </c>
      <c r="R39" s="59">
        <v>892</v>
      </c>
      <c r="S39" s="59">
        <v>7366</v>
      </c>
      <c r="T39" s="70">
        <v>0.121096</v>
      </c>
      <c r="U39" s="59">
        <v>935</v>
      </c>
      <c r="V39" s="59">
        <v>7474</v>
      </c>
      <c r="W39" s="70">
        <v>0.12509999999999999</v>
      </c>
      <c r="X39" s="59">
        <v>955</v>
      </c>
      <c r="Y39" s="59">
        <v>7469</v>
      </c>
      <c r="Z39" s="70">
        <v>0.127861</v>
      </c>
      <c r="AA39" s="59">
        <v>947</v>
      </c>
      <c r="AB39" s="59">
        <v>7353</v>
      </c>
      <c r="AC39" s="70">
        <v>0.12878999999999999</v>
      </c>
      <c r="AD39" s="59">
        <v>923</v>
      </c>
      <c r="AE39" s="59">
        <v>7291</v>
      </c>
      <c r="AF39" s="70">
        <v>0.12659400000000001</v>
      </c>
    </row>
    <row r="40" spans="2:32" x14ac:dyDescent="0.2">
      <c r="B40" s="71" t="s">
        <v>26</v>
      </c>
      <c r="C40" s="62">
        <v>1893</v>
      </c>
      <c r="D40" s="62">
        <v>12151</v>
      </c>
      <c r="E40" s="72">
        <v>0.15578900000000001</v>
      </c>
      <c r="F40" s="62">
        <v>2121</v>
      </c>
      <c r="G40" s="62">
        <v>12749</v>
      </c>
      <c r="H40" s="72">
        <v>0.16636500000000001</v>
      </c>
      <c r="I40" s="62">
        <v>2262</v>
      </c>
      <c r="J40" s="62">
        <v>13174</v>
      </c>
      <c r="K40" s="72">
        <v>0.17170099999999999</v>
      </c>
      <c r="L40" s="62">
        <v>2521</v>
      </c>
      <c r="M40" s="62">
        <v>13657</v>
      </c>
      <c r="N40" s="72">
        <v>0.18459300000000001</v>
      </c>
      <c r="O40" s="62">
        <v>2724</v>
      </c>
      <c r="P40" s="62">
        <v>13752</v>
      </c>
      <c r="Q40" s="72">
        <v>0.19808000000000001</v>
      </c>
      <c r="R40" s="62">
        <v>2997</v>
      </c>
      <c r="S40" s="62">
        <v>14065</v>
      </c>
      <c r="T40" s="72">
        <v>0.21308199999999999</v>
      </c>
      <c r="U40" s="62">
        <v>3205</v>
      </c>
      <c r="V40" s="62">
        <v>14224</v>
      </c>
      <c r="W40" s="72">
        <v>0.225323</v>
      </c>
      <c r="X40" s="62">
        <v>3339</v>
      </c>
      <c r="Y40" s="62">
        <v>14278</v>
      </c>
      <c r="Z40" s="72">
        <v>0.23385600000000001</v>
      </c>
      <c r="AA40" s="62">
        <v>3432</v>
      </c>
      <c r="AB40" s="62">
        <v>14343</v>
      </c>
      <c r="AC40" s="72">
        <v>0.23927999999999999</v>
      </c>
      <c r="AD40" s="62">
        <v>3469</v>
      </c>
      <c r="AE40" s="62">
        <v>14293</v>
      </c>
      <c r="AF40" s="72">
        <v>0.24270600000000001</v>
      </c>
    </row>
    <row r="41" spans="2:32" x14ac:dyDescent="0.2">
      <c r="B41" s="20" t="s">
        <v>27</v>
      </c>
      <c r="C41" s="21">
        <f>SUBTOTAL(109,'% Minority Trend'!$C$27:$C$40)</f>
        <v>13784</v>
      </c>
      <c r="D41" s="21">
        <f>SUBTOTAL(109,'% Minority Trend'!$D$27:$D$40)</f>
        <v>97991</v>
      </c>
      <c r="E41" s="22">
        <f>'% Minority Trend'!$C$41 / '% Minority Trend'!$D$41</f>
        <v>0.14066597952873222</v>
      </c>
      <c r="F41" s="21">
        <f>SUBTOTAL(109,'% Minority Trend'!$F$27:$F$40)</f>
        <v>14971</v>
      </c>
      <c r="G41" s="21">
        <f>SUBTOTAL(109,'% Minority Trend'!$G$27:$G$40)</f>
        <v>98198</v>
      </c>
      <c r="H41" s="22">
        <f>'% Minority Trend'!$F$41 / '% Minority Trend'!$G$41</f>
        <v>0.15245728018900589</v>
      </c>
      <c r="I41" s="21">
        <f>SUBTOTAL(109,'% Minority Trend'!$I$27:$I$40)</f>
        <v>15949</v>
      </c>
      <c r="J41" s="21">
        <f>SUBTOTAL(109,'% Minority Trend'!$J$27:$J$40)</f>
        <v>96174</v>
      </c>
      <c r="K41" s="22">
        <f>'% Minority Trend'!$I$41 / '% Minority Trend'!$J$41</f>
        <v>0.16583484101732276</v>
      </c>
      <c r="L41" s="21">
        <f>SUBTOTAL(109,'% Minority Trend'!$L$27:$L$40)</f>
        <v>16946</v>
      </c>
      <c r="M41" s="21">
        <f>SUBTOTAL(109,'% Minority Trend'!$M$27:$M$40)</f>
        <v>94920</v>
      </c>
      <c r="N41" s="22">
        <f>'% Minority Trend'!$L$41 / '% Minority Trend'!$M$41</f>
        <v>0.17852928782132321</v>
      </c>
      <c r="O41" s="21">
        <f>SUBTOTAL(109,'% Minority Trend'!$O$27:$O$40)</f>
        <v>17920</v>
      </c>
      <c r="P41" s="21">
        <f>SUBTOTAL(109,'% Minority Trend'!$P$27:$P$40)</f>
        <v>92797</v>
      </c>
      <c r="Q41" s="22">
        <f>'% Minority Trend'!$O$41 / '% Minority Trend'!$P$41</f>
        <v>0.19310969104604675</v>
      </c>
      <c r="R41" s="21">
        <f>SUBTOTAL(109,'% Minority Trend'!$R$27:$R$40)</f>
        <v>18472</v>
      </c>
      <c r="S41" s="21">
        <f>SUBTOTAL(109,'% Minority Trend'!$S$27:$S$40)</f>
        <v>90570</v>
      </c>
      <c r="T41" s="22">
        <f>'% Minority Trend'!$R$41 / '% Minority Trend'!$S$41</f>
        <v>0.20395274373412831</v>
      </c>
      <c r="U41" s="21">
        <f>SUBTOTAL(109,'% Minority Trend'!$U$27:$U$40)</f>
        <v>18649</v>
      </c>
      <c r="V41" s="21">
        <f>SUBTOTAL(109,'% Minority Trend'!$V$27:$V$40)</f>
        <v>87790</v>
      </c>
      <c r="W41" s="22">
        <f>'% Minority Trend'!$U$41 / '% Minority Trend'!$V$41</f>
        <v>0.21242738352887572</v>
      </c>
      <c r="X41" s="21">
        <f>SUBTOTAL(109,'% Minority Trend'!$X$27:$X$40)</f>
        <v>18770</v>
      </c>
      <c r="Y41" s="21">
        <f>SUBTOTAL(109,'% Minority Trend'!$Y$27:$Y$40)</f>
        <v>84813</v>
      </c>
      <c r="Z41" s="22">
        <f>'% Minority Trend'!$X$41 / '% Minority Trend'!$Y$41</f>
        <v>0.22131041231886622</v>
      </c>
      <c r="AA41" s="21">
        <f>SUBTOTAL(109,'% Minority Trend'!$AA$27:$AA$40)</f>
        <v>17879</v>
      </c>
      <c r="AB41" s="21">
        <f>SUBTOTAL(109,'% Minority Trend'!$AB$27:$AB$40)</f>
        <v>80362</v>
      </c>
      <c r="AC41" s="22">
        <f>'% Minority Trend'!$AA$41 / '% Minority Trend'!$AB$41</f>
        <v>0.22248077449540829</v>
      </c>
      <c r="AD41" s="21">
        <f>SUBTOTAL(109,'% Minority Trend'!$AD$27:$AD$40)</f>
        <v>17544</v>
      </c>
      <c r="AE41" s="21">
        <f>SUBTOTAL(109,'% Minority Trend'!$AE$27:$AE$40)</f>
        <v>77513</v>
      </c>
      <c r="AF41" s="22">
        <f>'% Minority Trend'!$AD$41 / '% Minority Trend'!$AE$41</f>
        <v>0.22633622747152091</v>
      </c>
    </row>
    <row r="44" spans="2:32" ht="15" x14ac:dyDescent="0.2">
      <c r="B44" s="131" t="s">
        <v>115</v>
      </c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</row>
    <row r="45" spans="2:32" x14ac:dyDescent="0.2">
      <c r="B45" s="134" t="s">
        <v>1</v>
      </c>
      <c r="C45" s="133" t="str">
        <f>CONCATENATE(IF(RIGHT(Parameters!B1,1) = "1","Fall ", "Spring "),IF(RIGHT(Parameters!B1,1) = "1",LEFT(Parameters!B1,4) -9, LEFT(Parameters!B1,4) - 8))</f>
        <v>Fall 2010</v>
      </c>
      <c r="D45" s="133"/>
      <c r="E45" s="133"/>
      <c r="F45" s="133" t="str">
        <f>CONCATENATE(IF(RIGHT(Parameters!B1,1) = "1","Fall ", "Spring "),IF(RIGHT(Parameters!B1,1) = "1",LEFT(Parameters!B1,4) -8, LEFT(Parameters!B1,4) - 7))</f>
        <v>Fall 2011</v>
      </c>
      <c r="G45" s="133"/>
      <c r="H45" s="133"/>
      <c r="I45" s="133" t="str">
        <f>CONCATENATE(IF(RIGHT(Parameters!B1,1) = "1","Fall ", "Spring "),IF(RIGHT(Parameters!B1,1) = "1",LEFT(Parameters!B1,4) -7, LEFT(Parameters!B1,4) - 6))</f>
        <v>Fall 2012</v>
      </c>
      <c r="J45" s="133"/>
      <c r="K45" s="133"/>
      <c r="L45" s="133" t="str">
        <f>CONCATENATE(IF(RIGHT(Parameters!B1,1) = "1","Fall ", "Spring "),IF(RIGHT(Parameters!B1,1) = "1",LEFT(Parameters!B1,4) -6, LEFT(Parameters!B1,4) - 5))</f>
        <v>Fall 2013</v>
      </c>
      <c r="M45" s="133"/>
      <c r="N45" s="133"/>
      <c r="O45" s="133" t="str">
        <f>CONCATENATE(IF(RIGHT(Parameters!B1,1) = "1","Fall ", "Spring "),IF(RIGHT(Parameters!B1,1) = "1",LEFT(Parameters!B1,4) -5, LEFT(Parameters!B1,4) - 4))</f>
        <v>Fall 2014</v>
      </c>
      <c r="P45" s="133"/>
      <c r="Q45" s="133"/>
      <c r="R45" s="133" t="str">
        <f>CONCATENATE(IF(RIGHT(Parameters!B1,1) = "1","Fall ", "Spring "),IF(RIGHT(Parameters!B1,1) = "1",LEFT(Parameters!B1,4) -4, LEFT(Parameters!B1,4) - 3))</f>
        <v>Fall 2015</v>
      </c>
      <c r="S45" s="133"/>
      <c r="T45" s="133"/>
      <c r="U45" s="133" t="str">
        <f>CONCATENATE(IF(RIGHT(Parameters!B1,1) = "1","Fall ", "Spring "),IF(RIGHT(Parameters!B1,1) = "1",LEFT(Parameters!B1,4) -3, LEFT(Parameters!B1,4) -2 ))</f>
        <v>Fall 2016</v>
      </c>
      <c r="V45" s="133"/>
      <c r="W45" s="133"/>
      <c r="X45" s="133" t="str">
        <f>CONCATENATE(IF(RIGHT(Parameters!B1,1) = "1","Fall ", "Spring "),IF(RIGHT(Parameters!B1,1) = "1",LEFT(Parameters!B1,4) -2, LEFT(Parameters!B1,4) -1 ))</f>
        <v>Fall 2017</v>
      </c>
      <c r="Y45" s="133"/>
      <c r="Z45" s="133"/>
      <c r="AA45" s="133" t="str">
        <f>CONCATENATE(IF(RIGHT(Parameters!B1,1) = "1","Fall ", "Spring "),IF(RIGHT(Parameters!B1,1) = "1",LEFT(Parameters!B1,4) -1, LEFT(Parameters!B1,4) ))</f>
        <v>Fall 2018</v>
      </c>
      <c r="AB45" s="133"/>
      <c r="AC45" s="133"/>
      <c r="AD45" s="133" t="str">
        <f>CONCATENATE(IF(RIGHT(Parameters!B1,1) = "1","Fall ", "Spring "),IF(RIGHT(Parameters!B1,1) = "1",LEFT(Parameters!B1,4), LEFT(Parameters!B1,4) + 1))</f>
        <v>Fall 2019</v>
      </c>
      <c r="AE45" s="133"/>
      <c r="AF45" s="133"/>
    </row>
    <row r="46" spans="2:32" ht="42.75" x14ac:dyDescent="0.2">
      <c r="B46" s="135"/>
      <c r="C46" s="54" t="s">
        <v>81</v>
      </c>
      <c r="D46" s="54" t="s">
        <v>82</v>
      </c>
      <c r="E46" s="54" t="s">
        <v>83</v>
      </c>
      <c r="F46" s="54" t="s">
        <v>81</v>
      </c>
      <c r="G46" s="54" t="s">
        <v>82</v>
      </c>
      <c r="H46" s="54" t="s">
        <v>83</v>
      </c>
      <c r="I46" s="54" t="s">
        <v>81</v>
      </c>
      <c r="J46" s="54" t="s">
        <v>82</v>
      </c>
      <c r="K46" s="54" t="s">
        <v>83</v>
      </c>
      <c r="L46" s="54" t="s">
        <v>81</v>
      </c>
      <c r="M46" s="54" t="s">
        <v>82</v>
      </c>
      <c r="N46" s="54" t="s">
        <v>83</v>
      </c>
      <c r="O46" s="54" t="s">
        <v>81</v>
      </c>
      <c r="P46" s="54" t="s">
        <v>82</v>
      </c>
      <c r="Q46" s="54" t="s">
        <v>83</v>
      </c>
      <c r="R46" s="54" t="s">
        <v>81</v>
      </c>
      <c r="S46" s="54" t="s">
        <v>82</v>
      </c>
      <c r="T46" s="54" t="s">
        <v>83</v>
      </c>
      <c r="U46" s="54" t="s">
        <v>81</v>
      </c>
      <c r="V46" s="54" t="s">
        <v>82</v>
      </c>
      <c r="W46" s="54" t="s">
        <v>83</v>
      </c>
      <c r="X46" s="54" t="s">
        <v>81</v>
      </c>
      <c r="Y46" s="54" t="s">
        <v>82</v>
      </c>
      <c r="Z46" s="54" t="s">
        <v>83</v>
      </c>
      <c r="AA46" s="54" t="s">
        <v>81</v>
      </c>
      <c r="AB46" s="54" t="s">
        <v>82</v>
      </c>
      <c r="AC46" s="54" t="s">
        <v>83</v>
      </c>
      <c r="AD46" s="54" t="s">
        <v>81</v>
      </c>
      <c r="AE46" s="54" t="s">
        <v>82</v>
      </c>
      <c r="AF46" s="54" t="s">
        <v>83</v>
      </c>
    </row>
    <row r="47" spans="2:32" ht="17.25" hidden="1" customHeight="1" thickBot="1" x14ac:dyDescent="0.25">
      <c r="B47" s="73" t="s">
        <v>2</v>
      </c>
      <c r="C47" s="73" t="s">
        <v>84</v>
      </c>
      <c r="D47" s="73" t="s">
        <v>85</v>
      </c>
      <c r="E47" s="73" t="s">
        <v>86</v>
      </c>
      <c r="F47" s="73" t="s">
        <v>87</v>
      </c>
      <c r="G47" s="73" t="s">
        <v>88</v>
      </c>
      <c r="H47" s="73" t="s">
        <v>89</v>
      </c>
      <c r="I47" s="73" t="s">
        <v>90</v>
      </c>
      <c r="J47" s="73" t="s">
        <v>91</v>
      </c>
      <c r="K47" s="73" t="s">
        <v>92</v>
      </c>
      <c r="L47" s="73" t="s">
        <v>93</v>
      </c>
      <c r="M47" s="73" t="s">
        <v>94</v>
      </c>
      <c r="N47" s="73" t="s">
        <v>95</v>
      </c>
      <c r="O47" s="73" t="s">
        <v>96</v>
      </c>
      <c r="P47" s="73" t="s">
        <v>97</v>
      </c>
      <c r="Q47" s="73" t="s">
        <v>98</v>
      </c>
      <c r="R47" s="73" t="s">
        <v>99</v>
      </c>
      <c r="S47" s="73" t="s">
        <v>100</v>
      </c>
      <c r="T47" s="73" t="s">
        <v>101</v>
      </c>
      <c r="U47" s="73" t="s">
        <v>102</v>
      </c>
      <c r="V47" s="73" t="s">
        <v>103</v>
      </c>
      <c r="W47" s="73" t="s">
        <v>104</v>
      </c>
      <c r="X47" s="73" t="s">
        <v>105</v>
      </c>
      <c r="Y47" s="73" t="s">
        <v>106</v>
      </c>
      <c r="Z47" s="73" t="s">
        <v>107</v>
      </c>
      <c r="AA47" s="73" t="s">
        <v>108</v>
      </c>
      <c r="AB47" s="73" t="s">
        <v>109</v>
      </c>
      <c r="AC47" s="73" t="s">
        <v>110</v>
      </c>
      <c r="AD47" s="73" t="s">
        <v>111</v>
      </c>
      <c r="AE47" s="73" t="s">
        <v>112</v>
      </c>
      <c r="AF47" s="73" t="s">
        <v>113</v>
      </c>
    </row>
    <row r="48" spans="2:32" x14ac:dyDescent="0.2">
      <c r="B48" s="69" t="s">
        <v>13</v>
      </c>
      <c r="C48" s="59">
        <v>66</v>
      </c>
      <c r="D48" s="59">
        <v>918</v>
      </c>
      <c r="E48" s="70">
        <v>7.1895000000000001E-2</v>
      </c>
      <c r="F48" s="59">
        <v>69</v>
      </c>
      <c r="G48" s="59">
        <v>861</v>
      </c>
      <c r="H48" s="70">
        <v>8.0139000000000002E-2</v>
      </c>
      <c r="I48" s="59">
        <v>60</v>
      </c>
      <c r="J48" s="59">
        <v>705</v>
      </c>
      <c r="K48" s="70">
        <v>8.5106000000000001E-2</v>
      </c>
      <c r="L48" s="59">
        <v>63</v>
      </c>
      <c r="M48" s="59">
        <v>666</v>
      </c>
      <c r="N48" s="70">
        <v>9.4593999999999998E-2</v>
      </c>
      <c r="O48" s="59">
        <v>66</v>
      </c>
      <c r="P48" s="59">
        <v>643</v>
      </c>
      <c r="Q48" s="70">
        <v>0.102643</v>
      </c>
      <c r="R48" s="59">
        <v>56</v>
      </c>
      <c r="S48" s="59">
        <v>601</v>
      </c>
      <c r="T48" s="70">
        <v>9.3177999999999997E-2</v>
      </c>
      <c r="U48" s="59">
        <v>73</v>
      </c>
      <c r="V48" s="59">
        <v>646</v>
      </c>
      <c r="W48" s="70">
        <v>0.11300300000000001</v>
      </c>
      <c r="X48" s="59">
        <v>76</v>
      </c>
      <c r="Y48" s="59">
        <v>666</v>
      </c>
      <c r="Z48" s="70">
        <v>0.11411399999999999</v>
      </c>
      <c r="AA48" s="59">
        <v>79</v>
      </c>
      <c r="AB48" s="59">
        <v>661</v>
      </c>
      <c r="AC48" s="70">
        <v>0.119515</v>
      </c>
      <c r="AD48" s="59">
        <v>87</v>
      </c>
      <c r="AE48" s="59">
        <v>686</v>
      </c>
      <c r="AF48" s="70">
        <v>0.12682199999999999</v>
      </c>
    </row>
    <row r="49" spans="2:32" x14ac:dyDescent="0.2">
      <c r="B49" s="69" t="s">
        <v>14</v>
      </c>
      <c r="C49" s="59">
        <v>212</v>
      </c>
      <c r="D49" s="59">
        <v>1790</v>
      </c>
      <c r="E49" s="70">
        <v>0.118435</v>
      </c>
      <c r="F49" s="59">
        <v>175</v>
      </c>
      <c r="G49" s="59">
        <v>1461</v>
      </c>
      <c r="H49" s="70">
        <v>0.11978</v>
      </c>
      <c r="I49" s="59">
        <v>252</v>
      </c>
      <c r="J49" s="59">
        <v>1686</v>
      </c>
      <c r="K49" s="70">
        <v>0.14946599999999999</v>
      </c>
      <c r="L49" s="59">
        <v>249</v>
      </c>
      <c r="M49" s="59">
        <v>1635</v>
      </c>
      <c r="N49" s="70">
        <v>0.15229300000000001</v>
      </c>
      <c r="O49" s="59">
        <v>339</v>
      </c>
      <c r="P49" s="59">
        <v>1804</v>
      </c>
      <c r="Q49" s="70">
        <v>0.187915</v>
      </c>
      <c r="R49" s="59">
        <v>334</v>
      </c>
      <c r="S49" s="59">
        <v>1949</v>
      </c>
      <c r="T49" s="70">
        <v>0.17136899999999999</v>
      </c>
      <c r="U49" s="59">
        <v>319</v>
      </c>
      <c r="V49" s="59">
        <v>1916</v>
      </c>
      <c r="W49" s="70">
        <v>0.166492</v>
      </c>
      <c r="X49" s="59">
        <v>325</v>
      </c>
      <c r="Y49" s="59">
        <v>1874</v>
      </c>
      <c r="Z49" s="70">
        <v>0.173425</v>
      </c>
      <c r="AA49" s="59">
        <v>314</v>
      </c>
      <c r="AB49" s="59">
        <v>1931</v>
      </c>
      <c r="AC49" s="70">
        <v>0.16261</v>
      </c>
      <c r="AD49" s="59">
        <v>300</v>
      </c>
      <c r="AE49" s="59">
        <v>1854</v>
      </c>
      <c r="AF49" s="70">
        <v>0.16181200000000001</v>
      </c>
    </row>
    <row r="50" spans="2:32" x14ac:dyDescent="0.2">
      <c r="B50" s="69" t="s">
        <v>15</v>
      </c>
      <c r="C50" s="59">
        <v>70</v>
      </c>
      <c r="D50" s="59">
        <v>71</v>
      </c>
      <c r="E50" s="70">
        <v>0.98591499999999999</v>
      </c>
      <c r="F50" s="59">
        <v>55</v>
      </c>
      <c r="G50" s="59">
        <v>55</v>
      </c>
      <c r="H50" s="70">
        <v>0.99999899999999997</v>
      </c>
      <c r="I50" s="59">
        <v>54</v>
      </c>
      <c r="J50" s="59">
        <v>55</v>
      </c>
      <c r="K50" s="70">
        <v>0.98181799999999997</v>
      </c>
      <c r="L50" s="59">
        <v>29</v>
      </c>
      <c r="M50" s="59">
        <v>31</v>
      </c>
      <c r="N50" s="70">
        <v>0.93548299999999995</v>
      </c>
      <c r="O50" s="59">
        <v>25</v>
      </c>
      <c r="P50" s="59">
        <v>25</v>
      </c>
      <c r="Q50" s="70">
        <v>0.99999899999999997</v>
      </c>
      <c r="R50" s="59">
        <v>22</v>
      </c>
      <c r="S50" s="59">
        <v>22</v>
      </c>
      <c r="T50" s="70">
        <v>0.99999899999999997</v>
      </c>
      <c r="U50" s="59">
        <v>32</v>
      </c>
      <c r="V50" s="59">
        <v>33</v>
      </c>
      <c r="W50" s="70">
        <v>0.969696</v>
      </c>
      <c r="X50" s="59">
        <v>19</v>
      </c>
      <c r="Y50" s="59">
        <v>19</v>
      </c>
      <c r="Z50" s="70">
        <v>0.99999899999999997</v>
      </c>
      <c r="AA50" s="59">
        <v>0</v>
      </c>
      <c r="AB50" s="59">
        <v>0</v>
      </c>
      <c r="AC50" s="70">
        <v>0</v>
      </c>
      <c r="AD50" s="59">
        <v>0</v>
      </c>
      <c r="AE50" s="59">
        <v>0</v>
      </c>
      <c r="AF50" s="70">
        <v>0</v>
      </c>
    </row>
    <row r="51" spans="2:32" x14ac:dyDescent="0.2">
      <c r="B51" s="69" t="s">
        <v>16</v>
      </c>
      <c r="C51" s="59">
        <v>50</v>
      </c>
      <c r="D51" s="59">
        <v>991</v>
      </c>
      <c r="E51" s="70">
        <v>5.0453999999999999E-2</v>
      </c>
      <c r="F51" s="59">
        <v>70</v>
      </c>
      <c r="G51" s="59">
        <v>944</v>
      </c>
      <c r="H51" s="70">
        <v>7.4151999999999996E-2</v>
      </c>
      <c r="I51" s="59">
        <v>65</v>
      </c>
      <c r="J51" s="59">
        <v>869</v>
      </c>
      <c r="K51" s="70">
        <v>7.4798000000000003E-2</v>
      </c>
      <c r="L51" s="59">
        <v>56</v>
      </c>
      <c r="M51" s="59">
        <v>789</v>
      </c>
      <c r="N51" s="70">
        <v>7.0974999999999996E-2</v>
      </c>
      <c r="O51" s="59">
        <v>63</v>
      </c>
      <c r="P51" s="59">
        <v>748</v>
      </c>
      <c r="Q51" s="70">
        <v>8.4223999999999993E-2</v>
      </c>
      <c r="R51" s="59">
        <v>62</v>
      </c>
      <c r="S51" s="59">
        <v>770</v>
      </c>
      <c r="T51" s="70">
        <v>8.0518999999999993E-2</v>
      </c>
      <c r="U51" s="59">
        <v>76</v>
      </c>
      <c r="V51" s="59">
        <v>854</v>
      </c>
      <c r="W51" s="70">
        <v>8.8992000000000002E-2</v>
      </c>
      <c r="X51" s="59">
        <v>98</v>
      </c>
      <c r="Y51" s="59">
        <v>870</v>
      </c>
      <c r="Z51" s="70">
        <v>0.11264299999999999</v>
      </c>
      <c r="AA51" s="59">
        <v>104</v>
      </c>
      <c r="AB51" s="59">
        <v>895</v>
      </c>
      <c r="AC51" s="70">
        <v>0.116201</v>
      </c>
      <c r="AD51" s="59">
        <v>106</v>
      </c>
      <c r="AE51" s="59">
        <v>884</v>
      </c>
      <c r="AF51" s="70">
        <v>0.119909</v>
      </c>
    </row>
    <row r="52" spans="2:32" x14ac:dyDescent="0.2">
      <c r="B52" s="69" t="s">
        <v>17</v>
      </c>
      <c r="C52" s="59">
        <v>93</v>
      </c>
      <c r="D52" s="59">
        <v>927</v>
      </c>
      <c r="E52" s="70">
        <v>0.100323</v>
      </c>
      <c r="F52" s="59">
        <v>69</v>
      </c>
      <c r="G52" s="59">
        <v>626</v>
      </c>
      <c r="H52" s="70">
        <v>0.110223</v>
      </c>
      <c r="I52" s="59">
        <v>76</v>
      </c>
      <c r="J52" s="59">
        <v>538</v>
      </c>
      <c r="K52" s="70">
        <v>0.141263</v>
      </c>
      <c r="L52" s="59">
        <v>104</v>
      </c>
      <c r="M52" s="59">
        <v>539</v>
      </c>
      <c r="N52" s="70">
        <v>0.19294900000000001</v>
      </c>
      <c r="O52" s="59">
        <v>102</v>
      </c>
      <c r="P52" s="59">
        <v>545</v>
      </c>
      <c r="Q52" s="70">
        <v>0.18715499999999999</v>
      </c>
      <c r="R52" s="59">
        <v>107</v>
      </c>
      <c r="S52" s="59">
        <v>598</v>
      </c>
      <c r="T52" s="70">
        <v>0.178929</v>
      </c>
      <c r="U52" s="59">
        <v>88</v>
      </c>
      <c r="V52" s="59">
        <v>625</v>
      </c>
      <c r="W52" s="70">
        <v>0.14079900000000001</v>
      </c>
      <c r="X52" s="59">
        <v>98</v>
      </c>
      <c r="Y52" s="59">
        <v>644</v>
      </c>
      <c r="Z52" s="70">
        <v>0.152173</v>
      </c>
      <c r="AA52" s="59">
        <v>98</v>
      </c>
      <c r="AB52" s="59">
        <v>678</v>
      </c>
      <c r="AC52" s="70">
        <v>0.144542</v>
      </c>
      <c r="AD52" s="59">
        <v>140</v>
      </c>
      <c r="AE52" s="59">
        <v>749</v>
      </c>
      <c r="AF52" s="70">
        <v>0.186915</v>
      </c>
    </row>
    <row r="53" spans="2:32" x14ac:dyDescent="0.2">
      <c r="B53" s="69" t="s">
        <v>18</v>
      </c>
      <c r="C53" s="59">
        <v>76</v>
      </c>
      <c r="D53" s="59">
        <v>1917</v>
      </c>
      <c r="E53" s="70">
        <v>3.9645E-2</v>
      </c>
      <c r="F53" s="59">
        <v>61</v>
      </c>
      <c r="G53" s="59">
        <v>1594</v>
      </c>
      <c r="H53" s="70">
        <v>3.8268000000000003E-2</v>
      </c>
      <c r="I53" s="59">
        <v>79</v>
      </c>
      <c r="J53" s="59">
        <v>1347</v>
      </c>
      <c r="K53" s="70">
        <v>5.8647999999999999E-2</v>
      </c>
      <c r="L53" s="59">
        <v>92</v>
      </c>
      <c r="M53" s="59">
        <v>1210</v>
      </c>
      <c r="N53" s="70">
        <v>7.6033000000000003E-2</v>
      </c>
      <c r="O53" s="59">
        <v>106</v>
      </c>
      <c r="P53" s="59">
        <v>1218</v>
      </c>
      <c r="Q53" s="70">
        <v>8.7026999999999993E-2</v>
      </c>
      <c r="R53" s="59">
        <v>133</v>
      </c>
      <c r="S53" s="59">
        <v>1267</v>
      </c>
      <c r="T53" s="70">
        <v>0.104972</v>
      </c>
      <c r="U53" s="59">
        <v>152</v>
      </c>
      <c r="V53" s="59">
        <v>1294</v>
      </c>
      <c r="W53" s="70">
        <v>0.117465</v>
      </c>
      <c r="X53" s="59">
        <v>157</v>
      </c>
      <c r="Y53" s="59">
        <v>1244</v>
      </c>
      <c r="Z53" s="70">
        <v>0.12620500000000001</v>
      </c>
      <c r="AA53" s="59">
        <v>162</v>
      </c>
      <c r="AB53" s="59">
        <v>1216</v>
      </c>
      <c r="AC53" s="70">
        <v>0.13322300000000001</v>
      </c>
      <c r="AD53" s="59">
        <v>127</v>
      </c>
      <c r="AE53" s="59">
        <v>1198</v>
      </c>
      <c r="AF53" s="70">
        <v>0.10600999999999999</v>
      </c>
    </row>
    <row r="54" spans="2:32" x14ac:dyDescent="0.2">
      <c r="B54" s="69" t="s">
        <v>19</v>
      </c>
      <c r="C54" s="59">
        <v>171</v>
      </c>
      <c r="D54" s="59">
        <v>1759</v>
      </c>
      <c r="E54" s="70">
        <v>9.7213999999999995E-2</v>
      </c>
      <c r="F54" s="59">
        <v>192</v>
      </c>
      <c r="G54" s="59">
        <v>1723</v>
      </c>
      <c r="H54" s="70">
        <v>0.111433</v>
      </c>
      <c r="I54" s="59">
        <v>216</v>
      </c>
      <c r="J54" s="59">
        <v>1847</v>
      </c>
      <c r="K54" s="70">
        <v>0.11694599999999999</v>
      </c>
      <c r="L54" s="59">
        <v>210</v>
      </c>
      <c r="M54" s="59">
        <v>1723</v>
      </c>
      <c r="N54" s="70">
        <v>0.12188</v>
      </c>
      <c r="O54" s="59">
        <v>225</v>
      </c>
      <c r="P54" s="59">
        <v>1757</v>
      </c>
      <c r="Q54" s="70">
        <v>0.12805900000000001</v>
      </c>
      <c r="R54" s="59">
        <v>223</v>
      </c>
      <c r="S54" s="59">
        <v>1680</v>
      </c>
      <c r="T54" s="70">
        <v>0.13273799999999999</v>
      </c>
      <c r="U54" s="59">
        <v>223</v>
      </c>
      <c r="V54" s="59">
        <v>1677</v>
      </c>
      <c r="W54" s="70">
        <v>0.13297500000000001</v>
      </c>
      <c r="X54" s="59">
        <v>246</v>
      </c>
      <c r="Y54" s="59">
        <v>1687</v>
      </c>
      <c r="Z54" s="70">
        <v>0.14582000000000001</v>
      </c>
      <c r="AA54" s="59">
        <v>265</v>
      </c>
      <c r="AB54" s="59">
        <v>1697</v>
      </c>
      <c r="AC54" s="70">
        <v>0.15615699999999999</v>
      </c>
      <c r="AD54" s="59">
        <v>273</v>
      </c>
      <c r="AE54" s="59">
        <v>1674</v>
      </c>
      <c r="AF54" s="70">
        <v>0.163082</v>
      </c>
    </row>
    <row r="55" spans="2:32" x14ac:dyDescent="0.2">
      <c r="B55" s="69" t="s">
        <v>20</v>
      </c>
      <c r="C55" s="59">
        <v>83</v>
      </c>
      <c r="D55" s="59">
        <v>935</v>
      </c>
      <c r="E55" s="70">
        <v>8.8770000000000002E-2</v>
      </c>
      <c r="F55" s="59">
        <v>78</v>
      </c>
      <c r="G55" s="59">
        <v>750</v>
      </c>
      <c r="H55" s="70">
        <v>0.10399899999999999</v>
      </c>
      <c r="I55" s="59">
        <v>65</v>
      </c>
      <c r="J55" s="59">
        <v>628</v>
      </c>
      <c r="K55" s="70">
        <v>0.103503</v>
      </c>
      <c r="L55" s="59">
        <v>66</v>
      </c>
      <c r="M55" s="59">
        <v>646</v>
      </c>
      <c r="N55" s="70">
        <v>0.10216699999999999</v>
      </c>
      <c r="O55" s="59">
        <v>75</v>
      </c>
      <c r="P55" s="59">
        <v>612</v>
      </c>
      <c r="Q55" s="70">
        <v>0.12254900000000001</v>
      </c>
      <c r="R55" s="59">
        <v>88</v>
      </c>
      <c r="S55" s="59">
        <v>654</v>
      </c>
      <c r="T55" s="70">
        <v>0.13455600000000001</v>
      </c>
      <c r="U55" s="59">
        <v>92</v>
      </c>
      <c r="V55" s="59">
        <v>734</v>
      </c>
      <c r="W55" s="70">
        <v>0.12534000000000001</v>
      </c>
      <c r="X55" s="59">
        <v>123</v>
      </c>
      <c r="Y55" s="59">
        <v>791</v>
      </c>
      <c r="Z55" s="70">
        <v>0.155499</v>
      </c>
      <c r="AA55" s="59">
        <v>140</v>
      </c>
      <c r="AB55" s="59">
        <v>882</v>
      </c>
      <c r="AC55" s="70">
        <v>0.15873000000000001</v>
      </c>
      <c r="AD55" s="59">
        <v>161</v>
      </c>
      <c r="AE55" s="59">
        <v>955</v>
      </c>
      <c r="AF55" s="70">
        <v>0.16858600000000001</v>
      </c>
    </row>
    <row r="56" spans="2:32" x14ac:dyDescent="0.2">
      <c r="B56" s="69" t="s">
        <v>21</v>
      </c>
      <c r="C56" s="59">
        <v>26</v>
      </c>
      <c r="D56" s="59">
        <v>330</v>
      </c>
      <c r="E56" s="70">
        <v>7.8786999999999996E-2</v>
      </c>
      <c r="F56" s="59">
        <v>21</v>
      </c>
      <c r="G56" s="59">
        <v>333</v>
      </c>
      <c r="H56" s="70">
        <v>6.3062999999999994E-2</v>
      </c>
      <c r="I56" s="59">
        <v>16</v>
      </c>
      <c r="J56" s="59">
        <v>355</v>
      </c>
      <c r="K56" s="70">
        <v>4.5069999999999999E-2</v>
      </c>
      <c r="L56" s="59">
        <v>28</v>
      </c>
      <c r="M56" s="59">
        <v>402</v>
      </c>
      <c r="N56" s="70">
        <v>6.9651000000000005E-2</v>
      </c>
      <c r="O56" s="59">
        <v>28</v>
      </c>
      <c r="P56" s="59">
        <v>395</v>
      </c>
      <c r="Q56" s="70">
        <v>7.0886000000000005E-2</v>
      </c>
      <c r="R56" s="59">
        <v>28</v>
      </c>
      <c r="S56" s="59">
        <v>387</v>
      </c>
      <c r="T56" s="70">
        <v>7.2350999999999999E-2</v>
      </c>
      <c r="U56" s="59">
        <v>23</v>
      </c>
      <c r="V56" s="59">
        <v>372</v>
      </c>
      <c r="W56" s="70">
        <v>6.1827E-2</v>
      </c>
      <c r="X56" s="59">
        <v>24</v>
      </c>
      <c r="Y56" s="59">
        <v>352</v>
      </c>
      <c r="Z56" s="70">
        <v>6.8181000000000005E-2</v>
      </c>
      <c r="AA56" s="59">
        <v>27</v>
      </c>
      <c r="AB56" s="59">
        <v>352</v>
      </c>
      <c r="AC56" s="70">
        <v>7.6703999999999994E-2</v>
      </c>
      <c r="AD56" s="59">
        <v>52</v>
      </c>
      <c r="AE56" s="59">
        <v>396</v>
      </c>
      <c r="AF56" s="70">
        <v>0.13131300000000001</v>
      </c>
    </row>
    <row r="57" spans="2:32" x14ac:dyDescent="0.2">
      <c r="B57" s="69" t="s">
        <v>22</v>
      </c>
      <c r="C57" s="59">
        <v>20</v>
      </c>
      <c r="D57" s="59">
        <v>440</v>
      </c>
      <c r="E57" s="70">
        <v>4.5454000000000001E-2</v>
      </c>
      <c r="F57" s="59">
        <v>26</v>
      </c>
      <c r="G57" s="59">
        <v>375</v>
      </c>
      <c r="H57" s="70">
        <v>6.9333000000000006E-2</v>
      </c>
      <c r="I57" s="59">
        <v>20</v>
      </c>
      <c r="J57" s="59">
        <v>290</v>
      </c>
      <c r="K57" s="70">
        <v>6.8964999999999999E-2</v>
      </c>
      <c r="L57" s="59">
        <v>21</v>
      </c>
      <c r="M57" s="59">
        <v>236</v>
      </c>
      <c r="N57" s="70">
        <v>8.8983000000000007E-2</v>
      </c>
      <c r="O57" s="59">
        <v>14</v>
      </c>
      <c r="P57" s="59">
        <v>156</v>
      </c>
      <c r="Q57" s="70">
        <v>8.9743000000000003E-2</v>
      </c>
      <c r="R57" s="59">
        <v>9</v>
      </c>
      <c r="S57" s="59">
        <v>118</v>
      </c>
      <c r="T57" s="70">
        <v>7.6271000000000005E-2</v>
      </c>
      <c r="U57" s="59">
        <v>5</v>
      </c>
      <c r="V57" s="59">
        <v>86</v>
      </c>
      <c r="W57" s="70">
        <v>5.8139000000000003E-2</v>
      </c>
      <c r="X57" s="59">
        <v>4</v>
      </c>
      <c r="Y57" s="59">
        <v>60</v>
      </c>
      <c r="Z57" s="70">
        <v>6.6666000000000003E-2</v>
      </c>
      <c r="AA57" s="59">
        <v>2</v>
      </c>
      <c r="AB57" s="59">
        <v>38</v>
      </c>
      <c r="AC57" s="70">
        <v>5.2630999999999997E-2</v>
      </c>
      <c r="AD57" s="59">
        <v>0</v>
      </c>
      <c r="AE57" s="59">
        <v>23</v>
      </c>
      <c r="AF57" s="70">
        <v>0</v>
      </c>
    </row>
    <row r="58" spans="2:32" x14ac:dyDescent="0.2">
      <c r="B58" s="69" t="s">
        <v>23</v>
      </c>
      <c r="C58" s="59">
        <v>73</v>
      </c>
      <c r="D58" s="59">
        <v>1094</v>
      </c>
      <c r="E58" s="70">
        <v>6.6726999999999995E-2</v>
      </c>
      <c r="F58" s="59">
        <v>85</v>
      </c>
      <c r="G58" s="59">
        <v>1061</v>
      </c>
      <c r="H58" s="70">
        <v>8.0113000000000004E-2</v>
      </c>
      <c r="I58" s="59">
        <v>92</v>
      </c>
      <c r="J58" s="59">
        <v>923</v>
      </c>
      <c r="K58" s="70">
        <v>9.9673999999999999E-2</v>
      </c>
      <c r="L58" s="59">
        <v>98</v>
      </c>
      <c r="M58" s="59">
        <v>877</v>
      </c>
      <c r="N58" s="70">
        <v>0.111744</v>
      </c>
      <c r="O58" s="59">
        <v>105</v>
      </c>
      <c r="P58" s="59">
        <v>862</v>
      </c>
      <c r="Q58" s="70">
        <v>0.121809</v>
      </c>
      <c r="R58" s="59">
        <v>108</v>
      </c>
      <c r="S58" s="59">
        <v>887</v>
      </c>
      <c r="T58" s="70">
        <v>0.12175800000000001</v>
      </c>
      <c r="U58" s="59">
        <v>119</v>
      </c>
      <c r="V58" s="59">
        <v>928</v>
      </c>
      <c r="W58" s="70">
        <v>0.12823200000000001</v>
      </c>
      <c r="X58" s="59">
        <v>113</v>
      </c>
      <c r="Y58" s="59">
        <v>944</v>
      </c>
      <c r="Z58" s="70">
        <v>0.119703</v>
      </c>
      <c r="AA58" s="59">
        <v>138</v>
      </c>
      <c r="AB58" s="59">
        <v>986</v>
      </c>
      <c r="AC58" s="70">
        <v>0.139959</v>
      </c>
      <c r="AD58" s="59">
        <v>155</v>
      </c>
      <c r="AE58" s="59">
        <v>1011</v>
      </c>
      <c r="AF58" s="70">
        <v>0.153313</v>
      </c>
    </row>
    <row r="59" spans="2:32" x14ac:dyDescent="0.2">
      <c r="B59" s="69" t="s">
        <v>24</v>
      </c>
      <c r="C59" s="59">
        <v>123</v>
      </c>
      <c r="D59" s="59">
        <v>1074</v>
      </c>
      <c r="E59" s="70">
        <v>0.114525</v>
      </c>
      <c r="F59" s="59">
        <v>90</v>
      </c>
      <c r="G59" s="59">
        <v>974</v>
      </c>
      <c r="H59" s="70">
        <v>9.2401999999999998E-2</v>
      </c>
      <c r="I59" s="59">
        <v>111</v>
      </c>
      <c r="J59" s="59">
        <v>924</v>
      </c>
      <c r="K59" s="70">
        <v>0.120129</v>
      </c>
      <c r="L59" s="59">
        <v>98</v>
      </c>
      <c r="M59" s="59">
        <v>903</v>
      </c>
      <c r="N59" s="70">
        <v>0.108527</v>
      </c>
      <c r="O59" s="59">
        <v>122</v>
      </c>
      <c r="P59" s="59">
        <v>949</v>
      </c>
      <c r="Q59" s="70">
        <v>0.128556</v>
      </c>
      <c r="R59" s="59">
        <v>127</v>
      </c>
      <c r="S59" s="59">
        <v>938</v>
      </c>
      <c r="T59" s="70">
        <v>0.13539399999999999</v>
      </c>
      <c r="U59" s="59">
        <v>118</v>
      </c>
      <c r="V59" s="59">
        <v>973</v>
      </c>
      <c r="W59" s="70">
        <v>0.12127400000000001</v>
      </c>
      <c r="X59" s="59">
        <v>127</v>
      </c>
      <c r="Y59" s="59">
        <v>910</v>
      </c>
      <c r="Z59" s="70">
        <v>0.13955999999999999</v>
      </c>
      <c r="AA59" s="59">
        <v>136</v>
      </c>
      <c r="AB59" s="59">
        <v>856</v>
      </c>
      <c r="AC59" s="70">
        <v>0.15887799999999999</v>
      </c>
      <c r="AD59" s="59">
        <v>118</v>
      </c>
      <c r="AE59" s="59">
        <v>778</v>
      </c>
      <c r="AF59" s="70">
        <v>0.15167</v>
      </c>
    </row>
    <row r="60" spans="2:32" x14ac:dyDescent="0.2">
      <c r="B60" s="69" t="s">
        <v>25</v>
      </c>
      <c r="C60" s="59">
        <v>34</v>
      </c>
      <c r="D60" s="59">
        <v>779</v>
      </c>
      <c r="E60" s="70">
        <v>4.3645000000000003E-2</v>
      </c>
      <c r="F60" s="59">
        <v>32</v>
      </c>
      <c r="G60" s="59">
        <v>699</v>
      </c>
      <c r="H60" s="70">
        <v>4.5779E-2</v>
      </c>
      <c r="I60" s="59">
        <v>27</v>
      </c>
      <c r="J60" s="59">
        <v>647</v>
      </c>
      <c r="K60" s="70">
        <v>4.1730999999999997E-2</v>
      </c>
      <c r="L60" s="59">
        <v>36</v>
      </c>
      <c r="M60" s="59">
        <v>712</v>
      </c>
      <c r="N60" s="70">
        <v>5.0561000000000002E-2</v>
      </c>
      <c r="O60" s="59">
        <v>57</v>
      </c>
      <c r="P60" s="59">
        <v>881</v>
      </c>
      <c r="Q60" s="70">
        <v>6.4699000000000007E-2</v>
      </c>
      <c r="R60" s="59">
        <v>64</v>
      </c>
      <c r="S60" s="59">
        <v>1018</v>
      </c>
      <c r="T60" s="70">
        <v>6.2867999999999993E-2</v>
      </c>
      <c r="U60" s="59">
        <v>70</v>
      </c>
      <c r="V60" s="59">
        <v>1190</v>
      </c>
      <c r="W60" s="70">
        <v>5.8823E-2</v>
      </c>
      <c r="X60" s="59">
        <v>92</v>
      </c>
      <c r="Y60" s="59">
        <v>1214</v>
      </c>
      <c r="Z60" s="70">
        <v>7.5782000000000002E-2</v>
      </c>
      <c r="AA60" s="59">
        <v>87</v>
      </c>
      <c r="AB60" s="59">
        <v>1231</v>
      </c>
      <c r="AC60" s="70">
        <v>7.0674000000000001E-2</v>
      </c>
      <c r="AD60" s="59">
        <v>112</v>
      </c>
      <c r="AE60" s="59">
        <v>1270</v>
      </c>
      <c r="AF60" s="70">
        <v>8.8188000000000002E-2</v>
      </c>
    </row>
    <row r="61" spans="2:32" x14ac:dyDescent="0.2">
      <c r="B61" s="74" t="s">
        <v>26</v>
      </c>
      <c r="C61" s="29">
        <v>318</v>
      </c>
      <c r="D61" s="29">
        <v>2191</v>
      </c>
      <c r="E61" s="44">
        <v>0.14513899999999999</v>
      </c>
      <c r="F61" s="29">
        <v>367</v>
      </c>
      <c r="G61" s="29">
        <v>2207</v>
      </c>
      <c r="H61" s="44">
        <v>0.16628899999999999</v>
      </c>
      <c r="I61" s="29">
        <v>375</v>
      </c>
      <c r="J61" s="29">
        <v>2009</v>
      </c>
      <c r="K61" s="44">
        <v>0.18665999999999999</v>
      </c>
      <c r="L61" s="29">
        <v>411</v>
      </c>
      <c r="M61" s="29">
        <v>2053</v>
      </c>
      <c r="N61" s="44">
        <v>0.20019400000000001</v>
      </c>
      <c r="O61" s="29">
        <v>463</v>
      </c>
      <c r="P61" s="29">
        <v>2144</v>
      </c>
      <c r="Q61" s="44">
        <v>0.215951</v>
      </c>
      <c r="R61" s="29">
        <v>496</v>
      </c>
      <c r="S61" s="29">
        <v>2292</v>
      </c>
      <c r="T61" s="44">
        <v>0.21640400000000001</v>
      </c>
      <c r="U61" s="29">
        <v>563</v>
      </c>
      <c r="V61" s="29">
        <v>2526</v>
      </c>
      <c r="W61" s="44">
        <v>0.222882</v>
      </c>
      <c r="X61" s="29">
        <v>624</v>
      </c>
      <c r="Y61" s="29">
        <v>2780</v>
      </c>
      <c r="Z61" s="44">
        <v>0.22445999999999999</v>
      </c>
      <c r="AA61" s="29">
        <v>646</v>
      </c>
      <c r="AB61" s="29">
        <v>2851</v>
      </c>
      <c r="AC61" s="44">
        <v>0.22658700000000001</v>
      </c>
      <c r="AD61" s="29">
        <v>750</v>
      </c>
      <c r="AE61" s="29">
        <v>2953</v>
      </c>
      <c r="AF61" s="44">
        <v>0.25397900000000001</v>
      </c>
    </row>
    <row r="62" spans="2:32" x14ac:dyDescent="0.2">
      <c r="B62" s="20" t="s">
        <v>27</v>
      </c>
      <c r="C62" s="21">
        <f>SUBTOTAL(109,'% Minority Trend'!$C$48:$C$61)</f>
        <v>1415</v>
      </c>
      <c r="D62" s="21">
        <f>SUBTOTAL(109,'% Minority Trend'!$D$48:$D$61)</f>
        <v>15216</v>
      </c>
      <c r="E62" s="22">
        <f>'% Minority Trend'!$C$62 / '% Minority Trend'!$D$62</f>
        <v>9.2994216614090436E-2</v>
      </c>
      <c r="F62" s="21">
        <f>SUBTOTAL(109,'% Minority Trend'!$F$48:$F$61)</f>
        <v>1390</v>
      </c>
      <c r="G62" s="21">
        <f>SUBTOTAL(109,'% Minority Trend'!$G$48:$G$61)</f>
        <v>13663</v>
      </c>
      <c r="H62" s="22">
        <f>'% Minority Trend'!$F$62 / '% Minority Trend'!$G$62</f>
        <v>0.10173461172509697</v>
      </c>
      <c r="I62" s="21">
        <f>SUBTOTAL(109,'% Minority Trend'!$I$48:$I$61)</f>
        <v>1508</v>
      </c>
      <c r="J62" s="21">
        <f>SUBTOTAL(109,'% Minority Trend'!$J$48:$J$61)</f>
        <v>12823</v>
      </c>
      <c r="K62" s="22">
        <f>'% Minority Trend'!$I$62 / '% Minority Trend'!$J$62</f>
        <v>0.11760118537003822</v>
      </c>
      <c r="L62" s="21">
        <f>SUBTOTAL(109,'% Minority Trend'!$L$48:$L$61)</f>
        <v>1561</v>
      </c>
      <c r="M62" s="21">
        <f>SUBTOTAL(109,'% Minority Trend'!$M$48:$M$61)</f>
        <v>12422</v>
      </c>
      <c r="N62" s="22">
        <f>'% Minority Trend'!$L$62 / '% Minority Trend'!$M$62</f>
        <v>0.12566414426018355</v>
      </c>
      <c r="O62" s="21">
        <f>SUBTOTAL(109,'% Minority Trend'!$O$48:$O$61)</f>
        <v>1790</v>
      </c>
      <c r="P62" s="21">
        <f>SUBTOTAL(109,'% Minority Trend'!$P$48:$P$61)</f>
        <v>12739</v>
      </c>
      <c r="Q62" s="22">
        <f>'% Minority Trend'!$O$62 / '% Minority Trend'!$P$62</f>
        <v>0.14051338409608288</v>
      </c>
      <c r="R62" s="21">
        <f>SUBTOTAL(109,'% Minority Trend'!$R$48:$R$61)</f>
        <v>1857</v>
      </c>
      <c r="S62" s="21">
        <f>SUBTOTAL(109,'% Minority Trend'!$S$48:$S$61)</f>
        <v>13181</v>
      </c>
      <c r="T62" s="22">
        <f xml:space="preserve"> '% Minority Trend'!$R$62 / '% Minority Trend'!$S$62</f>
        <v>0.14088460663075639</v>
      </c>
      <c r="U62" s="21">
        <f>SUBTOTAL(109,'% Minority Trend'!$U$48:$U$61)</f>
        <v>1953</v>
      </c>
      <c r="V62" s="21">
        <f>SUBTOTAL(109,'% Minority Trend'!$V$48:$V$61)</f>
        <v>13854</v>
      </c>
      <c r="W62" s="22">
        <f>'% Minority Trend'!$U$62 / '% Minority Trend'!$V$62</f>
        <v>0.14097011693373754</v>
      </c>
      <c r="X62" s="21">
        <f>SUBTOTAL(109,'% Minority Trend'!$X$48:$X$61)</f>
        <v>2126</v>
      </c>
      <c r="Y62" s="21">
        <f>SUBTOTAL(109,'% Minority Trend'!$Y$48:$Y$61)</f>
        <v>14055</v>
      </c>
      <c r="Z62" s="22">
        <f>'% Minority Trend'!$X$62 / '% Minority Trend'!$Y$62</f>
        <v>0.1512628957666311</v>
      </c>
      <c r="AA62" s="21">
        <f>SUBTOTAL(109,'% Minority Trend'!$AA$48:$AA$61)</f>
        <v>2198</v>
      </c>
      <c r="AB62" s="21">
        <f>SUBTOTAL(109,'% Minority Trend'!$AB$48:$AB$61)</f>
        <v>14274</v>
      </c>
      <c r="AC62" s="22">
        <f xml:space="preserve"> '% Minority Trend'!$AA$62 / '% Minority Trend'!$AB$62</f>
        <v>0.15398626874036711</v>
      </c>
      <c r="AD62" s="21">
        <f>SUBTOTAL(109,'% Minority Trend'!$AD$48:$AD$61)</f>
        <v>2381</v>
      </c>
      <c r="AE62" s="21">
        <f>SUBTOTAL(109,'% Minority Trend'!$AE$48:$AE$61)</f>
        <v>14431</v>
      </c>
      <c r="AF62" s="22">
        <f>'% Minority Trend'!$AD$62 / '% Minority Trend'!$AE$62</f>
        <v>0.16499203104427967</v>
      </c>
    </row>
    <row r="63" spans="2:32" x14ac:dyDescent="0.2"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75"/>
      <c r="V63" s="64"/>
      <c r="W63" s="64"/>
      <c r="X63" s="75"/>
      <c r="Y63" s="60"/>
      <c r="Z63" s="60"/>
      <c r="AA63" s="60"/>
      <c r="AB63" s="60"/>
      <c r="AC63" s="60"/>
      <c r="AD63" s="60"/>
      <c r="AE63" s="60"/>
      <c r="AF63" s="60"/>
    </row>
    <row r="64" spans="2:32" x14ac:dyDescent="0.2">
      <c r="B64" s="10" t="s">
        <v>116</v>
      </c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4"/>
      <c r="V64" s="64"/>
      <c r="W64" s="64"/>
      <c r="X64" s="60"/>
      <c r="Y64" s="60"/>
      <c r="Z64" s="60"/>
      <c r="AA64" s="60"/>
      <c r="AB64" s="60"/>
      <c r="AC64" s="60"/>
      <c r="AD64" s="60"/>
      <c r="AE64" s="60"/>
      <c r="AF64" s="60"/>
    </row>
    <row r="65" spans="2:2" x14ac:dyDescent="0.2">
      <c r="B65" s="6" t="s">
        <v>29</v>
      </c>
    </row>
    <row r="66" spans="2:2" x14ac:dyDescent="0.2">
      <c r="B66" s="9" t="s">
        <v>30</v>
      </c>
    </row>
    <row r="67" spans="2:2" x14ac:dyDescent="0.2">
      <c r="B67" s="9" t="s">
        <v>31</v>
      </c>
    </row>
  </sheetData>
  <mergeCells count="37">
    <mergeCell ref="U45:W45"/>
    <mergeCell ref="X45:Z45"/>
    <mergeCell ref="AA45:AC45"/>
    <mergeCell ref="AD45:AF45"/>
    <mergeCell ref="X24:Z24"/>
    <mergeCell ref="AA24:AC24"/>
    <mergeCell ref="AD24:AF24"/>
    <mergeCell ref="B44:AF44"/>
    <mergeCell ref="C45:E45"/>
    <mergeCell ref="F45:H45"/>
    <mergeCell ref="I45:K45"/>
    <mergeCell ref="L45:N45"/>
    <mergeCell ref="O45:Q45"/>
    <mergeCell ref="R45:T45"/>
    <mergeCell ref="B45:B46"/>
    <mergeCell ref="B23:AF23"/>
    <mergeCell ref="C24:E24"/>
    <mergeCell ref="F24:H24"/>
    <mergeCell ref="I24:K24"/>
    <mergeCell ref="L24:N24"/>
    <mergeCell ref="O24:Q24"/>
    <mergeCell ref="R24:T24"/>
    <mergeCell ref="U24:W24"/>
    <mergeCell ref="B24:B25"/>
    <mergeCell ref="B1:AF1"/>
    <mergeCell ref="B2:AF2"/>
    <mergeCell ref="C3:E3"/>
    <mergeCell ref="F3:H3"/>
    <mergeCell ref="I3:K3"/>
    <mergeCell ref="L3:N3"/>
    <mergeCell ref="O3:Q3"/>
    <mergeCell ref="R3:T3"/>
    <mergeCell ref="U3:W3"/>
    <mergeCell ref="X3:Z3"/>
    <mergeCell ref="AA3:AC3"/>
    <mergeCell ref="AD3:AF3"/>
    <mergeCell ref="B3:B4"/>
  </mergeCells>
  <printOptions horizontalCentered="1"/>
  <pageMargins left="0.5" right="0.5" top="1" bottom="0.5" header="0.3" footer="0.3"/>
  <pageSetup paperSize="17" scale="57" fitToHeight="0" orientation="landscape" r:id="rId1"/>
  <headerFooter>
    <oddHeader>&amp;L&amp;"Arial,Regular"&amp;10Pennsylvania's State System of Higher Education | &amp;D
Office of Educational Intelligence | Page &amp;P of 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B1:AF66"/>
  <sheetViews>
    <sheetView zoomScaleNormal="100" workbookViewId="0">
      <selection activeCell="B66" sqref="B66"/>
    </sheetView>
  </sheetViews>
  <sheetFormatPr defaultColWidth="8.85546875" defaultRowHeight="14.25" x14ac:dyDescent="0.2"/>
  <cols>
    <col min="1" max="1" width="9.140625" style="5" customWidth="1"/>
    <col min="2" max="2" width="23.5703125" style="5" customWidth="1"/>
    <col min="3" max="32" width="10.7109375" style="5" customWidth="1"/>
    <col min="33" max="16384" width="8.85546875" style="5"/>
  </cols>
  <sheetData>
    <row r="1" spans="2:32" ht="15" x14ac:dyDescent="0.2">
      <c r="B1" s="131" t="s">
        <v>0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</row>
    <row r="2" spans="2:32" ht="15" x14ac:dyDescent="0.2">
      <c r="B2" s="127" t="s">
        <v>117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</row>
    <row r="3" spans="2:32" x14ac:dyDescent="0.2">
      <c r="B3" s="134" t="s">
        <v>1</v>
      </c>
      <c r="C3" s="133" t="str">
        <f>CONCATENATE(IF(RIGHT(Parameters!B1,1) = "1","Fall ", "Spring "),IF(RIGHT(Parameters!B1,1) = "1",LEFT(Parameters!B1,4) -9, LEFT(Parameters!B1,4) - 8))</f>
        <v>Fall 2010</v>
      </c>
      <c r="D3" s="133"/>
      <c r="E3" s="133"/>
      <c r="F3" s="133" t="str">
        <f>CONCATENATE(IF(RIGHT(Parameters!B1,1) = "1","Fall ", "Spring "),IF(RIGHT(Parameters!B1,1) = "1",LEFT(Parameters!B1,4) -8, LEFT(Parameters!B1,4) - 7))</f>
        <v>Fall 2011</v>
      </c>
      <c r="G3" s="133"/>
      <c r="H3" s="133"/>
      <c r="I3" s="133" t="str">
        <f>CONCATENATE(IF(RIGHT(Parameters!B1,1) = "1","Fall ", "Spring "),IF(RIGHT(Parameters!B1,1) = "1",LEFT(Parameters!B1,4) -7, LEFT(Parameters!B1,4) - 6))</f>
        <v>Fall 2012</v>
      </c>
      <c r="J3" s="133"/>
      <c r="K3" s="133"/>
      <c r="L3" s="133" t="str">
        <f>CONCATENATE(IF(RIGHT(Parameters!B1,1) = "1","Fall ", "Spring "),IF(RIGHT(Parameters!B1,1) = "1",LEFT(Parameters!B1,4) -6, LEFT(Parameters!B1,4) - 5))</f>
        <v>Fall 2013</v>
      </c>
      <c r="M3" s="133"/>
      <c r="N3" s="133"/>
      <c r="O3" s="133" t="str">
        <f>CONCATENATE(IF(RIGHT(Parameters!B1,1) = "1","Fall ", "Spring "),IF(RIGHT(Parameters!B1,1) = "1",LEFT(Parameters!B1,4) -5, LEFT(Parameters!B1,4) - 4))</f>
        <v>Fall 2014</v>
      </c>
      <c r="P3" s="133"/>
      <c r="Q3" s="133"/>
      <c r="R3" s="133" t="str">
        <f>CONCATENATE(IF(RIGHT(Parameters!B1,1) = "1","Fall ", "Spring "),IF(RIGHT(Parameters!B1,1) = "1",LEFT(Parameters!B1,4) -4, LEFT(Parameters!B1,4) - 3))</f>
        <v>Fall 2015</v>
      </c>
      <c r="S3" s="133"/>
      <c r="T3" s="133"/>
      <c r="U3" s="133" t="str">
        <f>CONCATENATE(IF(RIGHT(Parameters!B1,1) = "1","Fall ", "Spring "),IF(RIGHT(Parameters!B1,1) = "1",LEFT(Parameters!B1,4) -3, LEFT(Parameters!B1,4) -2 ))</f>
        <v>Fall 2016</v>
      </c>
      <c r="V3" s="133"/>
      <c r="W3" s="133"/>
      <c r="X3" s="133" t="str">
        <f>CONCATENATE(IF(RIGHT(Parameters!B1,1) = "1","Fall ", "Spring "),IF(RIGHT(Parameters!B1,1) = "1",LEFT(Parameters!B1,4) -2, LEFT(Parameters!B1,4) -1 ))</f>
        <v>Fall 2017</v>
      </c>
      <c r="Y3" s="133"/>
      <c r="Z3" s="133"/>
      <c r="AA3" s="133" t="str">
        <f>CONCATENATE(IF(RIGHT(Parameters!B1,1) = "1","Fall ", "Spring "),IF(RIGHT(Parameters!B1,1) = "1",LEFT(Parameters!B1,4) -1, LEFT(Parameters!B1,4)  ))</f>
        <v>Fall 2018</v>
      </c>
      <c r="AB3" s="133"/>
      <c r="AC3" s="133"/>
      <c r="AD3" s="133" t="str">
        <f>CONCATENATE(IF(RIGHT(Parameters!B1,1) = "1","Fall ", "Spring "),IF(RIGHT(Parameters!B1,1) = "1",LEFT(Parameters!B1,4), LEFT(Parameters!B1,4) + 1))</f>
        <v>Fall 2019</v>
      </c>
      <c r="AE3" s="133"/>
      <c r="AF3" s="133"/>
    </row>
    <row r="4" spans="2:32" ht="42.75" x14ac:dyDescent="0.2">
      <c r="B4" s="135"/>
      <c r="C4" s="54" t="s">
        <v>118</v>
      </c>
      <c r="D4" s="54" t="s">
        <v>82</v>
      </c>
      <c r="E4" s="54" t="s">
        <v>119</v>
      </c>
      <c r="F4" s="54" t="s">
        <v>118</v>
      </c>
      <c r="G4" s="54" t="s">
        <v>82</v>
      </c>
      <c r="H4" s="54" t="s">
        <v>119</v>
      </c>
      <c r="I4" s="54" t="s">
        <v>118</v>
      </c>
      <c r="J4" s="54" t="s">
        <v>82</v>
      </c>
      <c r="K4" s="54" t="s">
        <v>119</v>
      </c>
      <c r="L4" s="54" t="s">
        <v>118</v>
      </c>
      <c r="M4" s="54" t="s">
        <v>82</v>
      </c>
      <c r="N4" s="54" t="s">
        <v>119</v>
      </c>
      <c r="O4" s="54" t="s">
        <v>118</v>
      </c>
      <c r="P4" s="54" t="s">
        <v>82</v>
      </c>
      <c r="Q4" s="54" t="s">
        <v>119</v>
      </c>
      <c r="R4" s="54" t="s">
        <v>118</v>
      </c>
      <c r="S4" s="54" t="s">
        <v>82</v>
      </c>
      <c r="T4" s="54" t="s">
        <v>119</v>
      </c>
      <c r="U4" s="54" t="s">
        <v>118</v>
      </c>
      <c r="V4" s="54" t="s">
        <v>82</v>
      </c>
      <c r="W4" s="54" t="s">
        <v>119</v>
      </c>
      <c r="X4" s="54" t="s">
        <v>118</v>
      </c>
      <c r="Y4" s="54" t="s">
        <v>82</v>
      </c>
      <c r="Z4" s="54" t="s">
        <v>119</v>
      </c>
      <c r="AA4" s="54" t="s">
        <v>118</v>
      </c>
      <c r="AB4" s="54" t="s">
        <v>82</v>
      </c>
      <c r="AC4" s="54" t="s">
        <v>119</v>
      </c>
      <c r="AD4" s="54" t="s">
        <v>118</v>
      </c>
      <c r="AE4" s="54" t="s">
        <v>82</v>
      </c>
      <c r="AF4" s="54" t="s">
        <v>119</v>
      </c>
    </row>
    <row r="5" spans="2:32" ht="16.5" hidden="1" customHeight="1" x14ac:dyDescent="0.2">
      <c r="B5" s="26" t="s">
        <v>2</v>
      </c>
      <c r="C5" s="26" t="s">
        <v>84</v>
      </c>
      <c r="D5" s="26" t="s">
        <v>85</v>
      </c>
      <c r="E5" s="26" t="s">
        <v>86</v>
      </c>
      <c r="F5" s="26" t="s">
        <v>87</v>
      </c>
      <c r="G5" s="26" t="s">
        <v>88</v>
      </c>
      <c r="H5" s="26" t="s">
        <v>89</v>
      </c>
      <c r="I5" s="26" t="s">
        <v>90</v>
      </c>
      <c r="J5" s="26" t="s">
        <v>91</v>
      </c>
      <c r="K5" s="26" t="s">
        <v>92</v>
      </c>
      <c r="L5" s="26" t="s">
        <v>93</v>
      </c>
      <c r="M5" s="26" t="s">
        <v>94</v>
      </c>
      <c r="N5" s="26" t="s">
        <v>95</v>
      </c>
      <c r="O5" s="26" t="s">
        <v>96</v>
      </c>
      <c r="P5" s="26" t="s">
        <v>97</v>
      </c>
      <c r="Q5" s="26" t="s">
        <v>98</v>
      </c>
      <c r="R5" s="26" t="s">
        <v>99</v>
      </c>
      <c r="S5" s="26" t="s">
        <v>100</v>
      </c>
      <c r="T5" s="26" t="s">
        <v>101</v>
      </c>
      <c r="U5" s="26" t="s">
        <v>102</v>
      </c>
      <c r="V5" s="26" t="s">
        <v>103</v>
      </c>
      <c r="W5" s="26" t="s">
        <v>104</v>
      </c>
      <c r="X5" s="26" t="s">
        <v>105</v>
      </c>
      <c r="Y5" s="26" t="s">
        <v>106</v>
      </c>
      <c r="Z5" s="26" t="s">
        <v>107</v>
      </c>
      <c r="AA5" s="26" t="s">
        <v>108</v>
      </c>
      <c r="AB5" s="26" t="s">
        <v>109</v>
      </c>
      <c r="AC5" s="26" t="s">
        <v>110</v>
      </c>
      <c r="AD5" s="26" t="s">
        <v>111</v>
      </c>
      <c r="AE5" s="26" t="s">
        <v>112</v>
      </c>
      <c r="AF5" s="26" t="s">
        <v>113</v>
      </c>
    </row>
    <row r="6" spans="2:32" x14ac:dyDescent="0.2">
      <c r="B6" s="67" t="s">
        <v>13</v>
      </c>
      <c r="C6" s="57">
        <v>128</v>
      </c>
      <c r="D6" s="57">
        <v>10091</v>
      </c>
      <c r="E6" s="68">
        <v>1.2684000000000001E-2</v>
      </c>
      <c r="F6" s="57">
        <v>134</v>
      </c>
      <c r="G6" s="57">
        <v>10159</v>
      </c>
      <c r="H6" s="68">
        <v>1.319E-2</v>
      </c>
      <c r="I6" s="57">
        <v>178</v>
      </c>
      <c r="J6" s="57">
        <v>9950</v>
      </c>
      <c r="K6" s="68">
        <v>1.7888999999999999E-2</v>
      </c>
      <c r="L6" s="57">
        <v>138</v>
      </c>
      <c r="M6" s="57">
        <v>10127</v>
      </c>
      <c r="N6" s="68">
        <v>1.3625999999999999E-2</v>
      </c>
      <c r="O6" s="57">
        <v>119</v>
      </c>
      <c r="P6" s="57">
        <v>9998</v>
      </c>
      <c r="Q6" s="68">
        <v>1.1901999999999999E-2</v>
      </c>
      <c r="R6" s="57">
        <v>96</v>
      </c>
      <c r="S6" s="57">
        <v>9777</v>
      </c>
      <c r="T6" s="68">
        <v>9.8180000000000003E-3</v>
      </c>
      <c r="U6" s="57">
        <v>56</v>
      </c>
      <c r="V6" s="57">
        <v>9658</v>
      </c>
      <c r="W6" s="68">
        <v>5.7980000000000002E-3</v>
      </c>
      <c r="X6" s="57">
        <v>69</v>
      </c>
      <c r="Y6" s="57">
        <v>9287</v>
      </c>
      <c r="Z6" s="68">
        <v>7.4289999999999998E-3</v>
      </c>
      <c r="AA6" s="57">
        <v>49</v>
      </c>
      <c r="AB6" s="57">
        <v>8924</v>
      </c>
      <c r="AC6" s="68">
        <v>5.4900000000000001E-3</v>
      </c>
      <c r="AD6" s="57">
        <v>52</v>
      </c>
      <c r="AE6" s="57">
        <v>8689</v>
      </c>
      <c r="AF6" s="68">
        <v>5.9839999999999997E-3</v>
      </c>
    </row>
    <row r="7" spans="2:32" x14ac:dyDescent="0.2">
      <c r="B7" s="69" t="s">
        <v>14</v>
      </c>
      <c r="C7" s="59">
        <v>134</v>
      </c>
      <c r="D7" s="59">
        <v>9400</v>
      </c>
      <c r="E7" s="70">
        <v>1.4255E-2</v>
      </c>
      <c r="F7" s="59">
        <v>73</v>
      </c>
      <c r="G7" s="59">
        <v>9483</v>
      </c>
      <c r="H7" s="70">
        <v>7.6969999999999998E-3</v>
      </c>
      <c r="I7" s="59">
        <v>67</v>
      </c>
      <c r="J7" s="59">
        <v>8608</v>
      </c>
      <c r="K7" s="70">
        <v>7.783E-3</v>
      </c>
      <c r="L7" s="59">
        <v>68</v>
      </c>
      <c r="M7" s="59">
        <v>8243</v>
      </c>
      <c r="N7" s="70">
        <v>8.2489999999999994E-3</v>
      </c>
      <c r="O7" s="59">
        <v>68</v>
      </c>
      <c r="P7" s="59">
        <v>7978</v>
      </c>
      <c r="Q7" s="70">
        <v>8.5229999999999993E-3</v>
      </c>
      <c r="R7" s="59">
        <v>75</v>
      </c>
      <c r="S7" s="59">
        <v>7854</v>
      </c>
      <c r="T7" s="70">
        <v>9.5490000000000002E-3</v>
      </c>
      <c r="U7" s="59">
        <v>77</v>
      </c>
      <c r="V7" s="59">
        <v>7553</v>
      </c>
      <c r="W7" s="70">
        <v>1.0194E-2</v>
      </c>
      <c r="X7" s="59">
        <v>64</v>
      </c>
      <c r="Y7" s="59">
        <v>7788</v>
      </c>
      <c r="Z7" s="70">
        <v>8.2170000000000003E-3</v>
      </c>
      <c r="AA7" s="59">
        <v>62</v>
      </c>
      <c r="AB7" s="59">
        <v>7312</v>
      </c>
      <c r="AC7" s="70">
        <v>8.4790000000000004E-3</v>
      </c>
      <c r="AD7" s="59">
        <v>43</v>
      </c>
      <c r="AE7" s="59">
        <v>6842</v>
      </c>
      <c r="AF7" s="70">
        <v>6.2839999999999997E-3</v>
      </c>
    </row>
    <row r="8" spans="2:32" x14ac:dyDescent="0.2">
      <c r="B8" s="69" t="s">
        <v>15</v>
      </c>
      <c r="C8" s="59">
        <v>1</v>
      </c>
      <c r="D8" s="59">
        <v>1586</v>
      </c>
      <c r="E8" s="70">
        <v>6.3000000000000003E-4</v>
      </c>
      <c r="F8" s="59">
        <v>2</v>
      </c>
      <c r="G8" s="59">
        <v>1200</v>
      </c>
      <c r="H8" s="70">
        <v>1.6659999999999999E-3</v>
      </c>
      <c r="I8" s="59">
        <v>2</v>
      </c>
      <c r="J8" s="59">
        <v>1284</v>
      </c>
      <c r="K8" s="70">
        <v>1.557E-3</v>
      </c>
      <c r="L8" s="59">
        <v>0</v>
      </c>
      <c r="M8" s="59">
        <v>1212</v>
      </c>
      <c r="N8" s="70">
        <v>0</v>
      </c>
      <c r="O8" s="59">
        <v>2</v>
      </c>
      <c r="P8" s="59">
        <v>1022</v>
      </c>
      <c r="Q8" s="70">
        <v>1.9559999999999998E-3</v>
      </c>
      <c r="R8" s="59">
        <v>4</v>
      </c>
      <c r="S8" s="59">
        <v>711</v>
      </c>
      <c r="T8" s="70">
        <v>5.6249999999999998E-3</v>
      </c>
      <c r="U8" s="59">
        <v>3</v>
      </c>
      <c r="V8" s="59">
        <v>746</v>
      </c>
      <c r="W8" s="70">
        <v>4.0210000000000003E-3</v>
      </c>
      <c r="X8" s="59">
        <v>0</v>
      </c>
      <c r="Y8" s="59">
        <v>755</v>
      </c>
      <c r="Z8" s="70">
        <v>0</v>
      </c>
      <c r="AA8" s="59">
        <v>0</v>
      </c>
      <c r="AB8" s="59">
        <v>469</v>
      </c>
      <c r="AC8" s="70">
        <v>0</v>
      </c>
      <c r="AD8" s="59">
        <v>2</v>
      </c>
      <c r="AE8" s="59">
        <v>618</v>
      </c>
      <c r="AF8" s="70">
        <v>3.2360000000000002E-3</v>
      </c>
    </row>
    <row r="9" spans="2:32" x14ac:dyDescent="0.2">
      <c r="B9" s="69" t="s">
        <v>16</v>
      </c>
      <c r="C9" s="59">
        <v>47</v>
      </c>
      <c r="D9" s="59">
        <v>7315</v>
      </c>
      <c r="E9" s="70">
        <v>6.4250000000000002E-3</v>
      </c>
      <c r="F9" s="59">
        <v>55</v>
      </c>
      <c r="G9" s="59">
        <v>6991</v>
      </c>
      <c r="H9" s="70">
        <v>7.8670000000000007E-3</v>
      </c>
      <c r="I9" s="59">
        <v>44</v>
      </c>
      <c r="J9" s="59">
        <v>6520</v>
      </c>
      <c r="K9" s="70">
        <v>6.7479999999999997E-3</v>
      </c>
      <c r="L9" s="59">
        <v>43</v>
      </c>
      <c r="M9" s="59">
        <v>6080</v>
      </c>
      <c r="N9" s="70">
        <v>7.0720000000000002E-3</v>
      </c>
      <c r="O9" s="59">
        <v>82</v>
      </c>
      <c r="P9" s="59">
        <v>5712</v>
      </c>
      <c r="Q9" s="70">
        <v>1.4355E-2</v>
      </c>
      <c r="R9" s="59">
        <v>43</v>
      </c>
      <c r="S9" s="59">
        <v>5368</v>
      </c>
      <c r="T9" s="70">
        <v>8.0099999999999998E-3</v>
      </c>
      <c r="U9" s="59">
        <v>27</v>
      </c>
      <c r="V9" s="59">
        <v>5224</v>
      </c>
      <c r="W9" s="70">
        <v>5.1679999999999999E-3</v>
      </c>
      <c r="X9" s="59">
        <v>18</v>
      </c>
      <c r="Y9" s="59">
        <v>5225</v>
      </c>
      <c r="Z9" s="70">
        <v>3.444E-3</v>
      </c>
      <c r="AA9" s="59">
        <v>17</v>
      </c>
      <c r="AB9" s="59">
        <v>4869</v>
      </c>
      <c r="AC9" s="70">
        <v>3.4910000000000002E-3</v>
      </c>
      <c r="AD9" s="59">
        <v>19</v>
      </c>
      <c r="AE9" s="59">
        <v>4703</v>
      </c>
      <c r="AF9" s="70">
        <v>4.0390000000000001E-3</v>
      </c>
    </row>
    <row r="10" spans="2:32" x14ac:dyDescent="0.2">
      <c r="B10" s="69" t="s">
        <v>17</v>
      </c>
      <c r="C10" s="59">
        <v>64</v>
      </c>
      <c r="D10" s="59">
        <v>7387</v>
      </c>
      <c r="E10" s="70">
        <v>8.6630000000000006E-3</v>
      </c>
      <c r="F10" s="59">
        <v>63</v>
      </c>
      <c r="G10" s="59">
        <v>7353</v>
      </c>
      <c r="H10" s="70">
        <v>8.567E-3</v>
      </c>
      <c r="I10" s="59">
        <v>76</v>
      </c>
      <c r="J10" s="59">
        <v>6943</v>
      </c>
      <c r="K10" s="70">
        <v>1.0945999999999999E-2</v>
      </c>
      <c r="L10" s="59">
        <v>87</v>
      </c>
      <c r="M10" s="59">
        <v>6778</v>
      </c>
      <c r="N10" s="70">
        <v>1.2834999999999999E-2</v>
      </c>
      <c r="O10" s="59">
        <v>96</v>
      </c>
      <c r="P10" s="59">
        <v>6820</v>
      </c>
      <c r="Q10" s="70">
        <v>1.4076E-2</v>
      </c>
      <c r="R10" s="59">
        <v>121</v>
      </c>
      <c r="S10" s="59">
        <v>6828</v>
      </c>
      <c r="T10" s="70">
        <v>1.7721000000000001E-2</v>
      </c>
      <c r="U10" s="59">
        <v>67</v>
      </c>
      <c r="V10" s="59">
        <v>6830</v>
      </c>
      <c r="W10" s="70">
        <v>9.809E-3</v>
      </c>
      <c r="X10" s="59">
        <v>81</v>
      </c>
      <c r="Y10" s="59">
        <v>6742</v>
      </c>
      <c r="Z10" s="70">
        <v>1.2014E-2</v>
      </c>
      <c r="AA10" s="59">
        <v>76</v>
      </c>
      <c r="AB10" s="59">
        <v>6425</v>
      </c>
      <c r="AC10" s="70">
        <v>1.1828E-2</v>
      </c>
      <c r="AD10" s="59">
        <v>66</v>
      </c>
      <c r="AE10" s="59">
        <v>6214</v>
      </c>
      <c r="AF10" s="70">
        <v>1.0621E-2</v>
      </c>
    </row>
    <row r="11" spans="2:32" x14ac:dyDescent="0.2">
      <c r="B11" s="69" t="s">
        <v>18</v>
      </c>
      <c r="C11" s="59">
        <v>64</v>
      </c>
      <c r="D11" s="59">
        <v>8642</v>
      </c>
      <c r="E11" s="70">
        <v>7.4050000000000001E-3</v>
      </c>
      <c r="F11" s="59">
        <v>88</v>
      </c>
      <c r="G11" s="59">
        <v>8262</v>
      </c>
      <c r="H11" s="70">
        <v>1.0651000000000001E-2</v>
      </c>
      <c r="I11" s="59">
        <v>83</v>
      </c>
      <c r="J11" s="59">
        <v>7462</v>
      </c>
      <c r="K11" s="70">
        <v>1.1122999999999999E-2</v>
      </c>
      <c r="L11" s="59">
        <v>108</v>
      </c>
      <c r="M11" s="59">
        <v>7098</v>
      </c>
      <c r="N11" s="70">
        <v>1.5214999999999999E-2</v>
      </c>
      <c r="O11" s="59">
        <v>113</v>
      </c>
      <c r="P11" s="59">
        <v>6837</v>
      </c>
      <c r="Q11" s="70">
        <v>1.6527E-2</v>
      </c>
      <c r="R11" s="59">
        <v>101</v>
      </c>
      <c r="S11" s="59">
        <v>6550</v>
      </c>
      <c r="T11" s="70">
        <v>1.5419E-2</v>
      </c>
      <c r="U11" s="59">
        <v>87</v>
      </c>
      <c r="V11" s="59">
        <v>6181</v>
      </c>
      <c r="W11" s="70">
        <v>1.4075000000000001E-2</v>
      </c>
      <c r="X11" s="59">
        <v>75</v>
      </c>
      <c r="Y11" s="59">
        <v>5575</v>
      </c>
      <c r="Z11" s="70">
        <v>1.3452E-2</v>
      </c>
      <c r="AA11" s="59">
        <v>61</v>
      </c>
      <c r="AB11" s="59">
        <v>4834</v>
      </c>
      <c r="AC11" s="70">
        <v>1.2618000000000001E-2</v>
      </c>
      <c r="AD11" s="59">
        <v>55</v>
      </c>
      <c r="AE11" s="59">
        <v>4646</v>
      </c>
      <c r="AF11" s="70">
        <v>1.1838E-2</v>
      </c>
    </row>
    <row r="12" spans="2:32" x14ac:dyDescent="0.2">
      <c r="B12" s="69" t="s">
        <v>19</v>
      </c>
      <c r="C12" s="59">
        <v>649</v>
      </c>
      <c r="D12" s="59">
        <v>15126</v>
      </c>
      <c r="E12" s="70">
        <v>4.2906E-2</v>
      </c>
      <c r="F12" s="59">
        <v>621</v>
      </c>
      <c r="G12" s="59">
        <v>15132</v>
      </c>
      <c r="H12" s="70">
        <v>4.1037999999999998E-2</v>
      </c>
      <c r="I12" s="59">
        <v>767</v>
      </c>
      <c r="J12" s="59">
        <v>15596</v>
      </c>
      <c r="K12" s="70">
        <v>4.9179E-2</v>
      </c>
      <c r="L12" s="59">
        <v>864</v>
      </c>
      <c r="M12" s="59">
        <v>14925</v>
      </c>
      <c r="N12" s="70">
        <v>5.7889000000000003E-2</v>
      </c>
      <c r="O12" s="59">
        <v>892</v>
      </c>
      <c r="P12" s="59">
        <v>14571</v>
      </c>
      <c r="Q12" s="70">
        <v>6.1217000000000001E-2</v>
      </c>
      <c r="R12" s="59">
        <v>969</v>
      </c>
      <c r="S12" s="59">
        <v>14035</v>
      </c>
      <c r="T12" s="70">
        <v>6.9041000000000005E-2</v>
      </c>
      <c r="U12" s="59">
        <v>923</v>
      </c>
      <c r="V12" s="59">
        <v>13114</v>
      </c>
      <c r="W12" s="70">
        <v>7.0382E-2</v>
      </c>
      <c r="X12" s="59">
        <v>809</v>
      </c>
      <c r="Y12" s="59">
        <v>12562</v>
      </c>
      <c r="Z12" s="70">
        <v>6.4399999999999999E-2</v>
      </c>
      <c r="AA12" s="59">
        <v>712</v>
      </c>
      <c r="AB12" s="59">
        <v>11581</v>
      </c>
      <c r="AC12" s="70">
        <v>6.148E-2</v>
      </c>
      <c r="AD12" s="59">
        <v>582</v>
      </c>
      <c r="AE12" s="59">
        <v>10636</v>
      </c>
      <c r="AF12" s="70">
        <v>5.4718999999999997E-2</v>
      </c>
    </row>
    <row r="13" spans="2:32" x14ac:dyDescent="0.2">
      <c r="B13" s="69" t="s">
        <v>20</v>
      </c>
      <c r="C13" s="59">
        <v>102</v>
      </c>
      <c r="D13" s="59">
        <v>10707</v>
      </c>
      <c r="E13" s="70">
        <v>9.5259999999999997E-3</v>
      </c>
      <c r="F13" s="59">
        <v>93</v>
      </c>
      <c r="G13" s="59">
        <v>10283</v>
      </c>
      <c r="H13" s="70">
        <v>9.044E-3</v>
      </c>
      <c r="I13" s="59">
        <v>87</v>
      </c>
      <c r="J13" s="59">
        <v>9804</v>
      </c>
      <c r="K13" s="70">
        <v>8.8730000000000007E-3</v>
      </c>
      <c r="L13" s="59">
        <v>104</v>
      </c>
      <c r="M13" s="59">
        <v>9513</v>
      </c>
      <c r="N13" s="70">
        <v>1.0932000000000001E-2</v>
      </c>
      <c r="O13" s="59">
        <v>101</v>
      </c>
      <c r="P13" s="59">
        <v>9218</v>
      </c>
      <c r="Q13" s="70">
        <v>1.0956E-2</v>
      </c>
      <c r="R13" s="59">
        <v>93</v>
      </c>
      <c r="S13" s="59">
        <v>9000</v>
      </c>
      <c r="T13" s="70">
        <v>1.0333E-2</v>
      </c>
      <c r="U13" s="59">
        <v>69</v>
      </c>
      <c r="V13" s="59">
        <v>8513</v>
      </c>
      <c r="W13" s="70">
        <v>8.1049999999999994E-3</v>
      </c>
      <c r="X13" s="59">
        <v>77</v>
      </c>
      <c r="Y13" s="59">
        <v>8329</v>
      </c>
      <c r="Z13" s="70">
        <v>9.2440000000000005E-3</v>
      </c>
      <c r="AA13" s="59">
        <v>77</v>
      </c>
      <c r="AB13" s="59">
        <v>8309</v>
      </c>
      <c r="AC13" s="70">
        <v>9.2669999999999992E-3</v>
      </c>
      <c r="AD13" s="59">
        <v>80</v>
      </c>
      <c r="AE13" s="59">
        <v>8199</v>
      </c>
      <c r="AF13" s="70">
        <v>9.757E-3</v>
      </c>
    </row>
    <row r="14" spans="2:32" x14ac:dyDescent="0.2">
      <c r="B14" s="69" t="s">
        <v>21</v>
      </c>
      <c r="C14" s="59">
        <v>75</v>
      </c>
      <c r="D14" s="59">
        <v>5451</v>
      </c>
      <c r="E14" s="70">
        <v>1.3757999999999999E-2</v>
      </c>
      <c r="F14" s="59">
        <v>66</v>
      </c>
      <c r="G14" s="59">
        <v>5366</v>
      </c>
      <c r="H14" s="70">
        <v>1.2298999999999999E-2</v>
      </c>
      <c r="I14" s="59">
        <v>41</v>
      </c>
      <c r="J14" s="59">
        <v>5328</v>
      </c>
      <c r="K14" s="70">
        <v>7.6949999999999996E-3</v>
      </c>
      <c r="L14" s="59">
        <v>41</v>
      </c>
      <c r="M14" s="59">
        <v>5260</v>
      </c>
      <c r="N14" s="70">
        <v>7.7939999999999997E-3</v>
      </c>
      <c r="O14" s="59">
        <v>46</v>
      </c>
      <c r="P14" s="59">
        <v>4917</v>
      </c>
      <c r="Q14" s="70">
        <v>9.3550000000000005E-3</v>
      </c>
      <c r="R14" s="59">
        <v>46</v>
      </c>
      <c r="S14" s="59">
        <v>4607</v>
      </c>
      <c r="T14" s="70">
        <v>9.9839999999999998E-3</v>
      </c>
      <c r="U14" s="59">
        <v>37</v>
      </c>
      <c r="V14" s="59">
        <v>4220</v>
      </c>
      <c r="W14" s="70">
        <v>8.7670000000000005E-3</v>
      </c>
      <c r="X14" s="59">
        <v>33</v>
      </c>
      <c r="Y14" s="59">
        <v>3827</v>
      </c>
      <c r="Z14" s="70">
        <v>8.6219999999999995E-3</v>
      </c>
      <c r="AA14" s="59">
        <v>25</v>
      </c>
      <c r="AB14" s="59">
        <v>3425</v>
      </c>
      <c r="AC14" s="70">
        <v>7.2989999999999999E-3</v>
      </c>
      <c r="AD14" s="59">
        <v>22</v>
      </c>
      <c r="AE14" s="59">
        <v>3162</v>
      </c>
      <c r="AF14" s="70">
        <v>6.9569999999999996E-3</v>
      </c>
    </row>
    <row r="15" spans="2:32" x14ac:dyDescent="0.2">
      <c r="B15" s="69" t="s">
        <v>22</v>
      </c>
      <c r="C15" s="59">
        <v>43</v>
      </c>
      <c r="D15" s="59">
        <v>3411</v>
      </c>
      <c r="E15" s="70">
        <v>1.2605999999999999E-2</v>
      </c>
      <c r="F15" s="59">
        <v>26</v>
      </c>
      <c r="G15" s="59">
        <v>3275</v>
      </c>
      <c r="H15" s="70">
        <v>7.9380000000000006E-3</v>
      </c>
      <c r="I15" s="59">
        <v>38</v>
      </c>
      <c r="J15" s="59">
        <v>3131</v>
      </c>
      <c r="K15" s="70">
        <v>1.2135999999999999E-2</v>
      </c>
      <c r="L15" s="59">
        <v>37</v>
      </c>
      <c r="M15" s="59">
        <v>2970</v>
      </c>
      <c r="N15" s="70">
        <v>1.2456999999999999E-2</v>
      </c>
      <c r="O15" s="59">
        <v>28</v>
      </c>
      <c r="P15" s="59">
        <v>2752</v>
      </c>
      <c r="Q15" s="70">
        <v>1.0174000000000001E-2</v>
      </c>
      <c r="R15" s="59">
        <v>10</v>
      </c>
      <c r="S15" s="59">
        <v>2389</v>
      </c>
      <c r="T15" s="70">
        <v>4.1850000000000004E-3</v>
      </c>
      <c r="U15" s="59">
        <v>15</v>
      </c>
      <c r="V15" s="59">
        <v>2207</v>
      </c>
      <c r="W15" s="70">
        <v>6.796E-3</v>
      </c>
      <c r="X15" s="59">
        <v>13</v>
      </c>
      <c r="Y15" s="59">
        <v>1922</v>
      </c>
      <c r="Z15" s="70">
        <v>6.7629999999999999E-3</v>
      </c>
      <c r="AA15" s="59">
        <v>9</v>
      </c>
      <c r="AB15" s="59">
        <v>1650</v>
      </c>
      <c r="AC15" s="70">
        <v>5.4539999999999996E-3</v>
      </c>
      <c r="AD15" s="59">
        <v>14</v>
      </c>
      <c r="AE15" s="59">
        <v>1683</v>
      </c>
      <c r="AF15" s="70">
        <v>8.3180000000000007E-3</v>
      </c>
    </row>
    <row r="16" spans="2:32" x14ac:dyDescent="0.2">
      <c r="B16" s="69" t="s">
        <v>23</v>
      </c>
      <c r="C16" s="59">
        <v>48</v>
      </c>
      <c r="D16" s="59">
        <v>8729</v>
      </c>
      <c r="E16" s="70">
        <v>5.4980000000000003E-3</v>
      </c>
      <c r="F16" s="59">
        <v>41</v>
      </c>
      <c r="G16" s="59">
        <v>8725</v>
      </c>
      <c r="H16" s="70">
        <v>4.6990000000000001E-3</v>
      </c>
      <c r="I16" s="59">
        <v>46</v>
      </c>
      <c r="J16" s="59">
        <v>8368</v>
      </c>
      <c r="K16" s="70">
        <v>5.4970000000000001E-3</v>
      </c>
      <c r="L16" s="59">
        <v>59</v>
      </c>
      <c r="M16" s="59">
        <v>8279</v>
      </c>
      <c r="N16" s="70">
        <v>7.1260000000000004E-3</v>
      </c>
      <c r="O16" s="59">
        <v>58</v>
      </c>
      <c r="P16" s="59">
        <v>8047</v>
      </c>
      <c r="Q16" s="70">
        <v>7.2069999999999999E-3</v>
      </c>
      <c r="R16" s="59">
        <v>54</v>
      </c>
      <c r="S16" s="59">
        <v>7988</v>
      </c>
      <c r="T16" s="70">
        <v>6.7600000000000004E-3</v>
      </c>
      <c r="U16" s="59">
        <v>54</v>
      </c>
      <c r="V16" s="59">
        <v>7927</v>
      </c>
      <c r="W16" s="70">
        <v>6.8120000000000003E-3</v>
      </c>
      <c r="X16" s="59">
        <v>70</v>
      </c>
      <c r="Y16" s="59">
        <v>7748</v>
      </c>
      <c r="Z16" s="70">
        <v>9.0340000000000004E-3</v>
      </c>
      <c r="AA16" s="59">
        <v>70</v>
      </c>
      <c r="AB16" s="59">
        <v>7781</v>
      </c>
      <c r="AC16" s="70">
        <v>8.9960000000000005E-3</v>
      </c>
      <c r="AD16" s="59">
        <v>78</v>
      </c>
      <c r="AE16" s="59">
        <v>7817</v>
      </c>
      <c r="AF16" s="70">
        <v>9.9780000000000008E-3</v>
      </c>
    </row>
    <row r="17" spans="2:32" x14ac:dyDescent="0.2">
      <c r="B17" s="69" t="s">
        <v>24</v>
      </c>
      <c r="C17" s="59">
        <v>38</v>
      </c>
      <c r="D17" s="59">
        <v>8326</v>
      </c>
      <c r="E17" s="70">
        <v>4.5640000000000003E-3</v>
      </c>
      <c r="F17" s="59">
        <v>42</v>
      </c>
      <c r="G17" s="59">
        <v>8183</v>
      </c>
      <c r="H17" s="70">
        <v>5.1320000000000003E-3</v>
      </c>
      <c r="I17" s="59">
        <v>68</v>
      </c>
      <c r="J17" s="59">
        <v>7724</v>
      </c>
      <c r="K17" s="70">
        <v>8.8030000000000001E-3</v>
      </c>
      <c r="L17" s="59">
        <v>91</v>
      </c>
      <c r="M17" s="59">
        <v>7548</v>
      </c>
      <c r="N17" s="70">
        <v>1.2056000000000001E-2</v>
      </c>
      <c r="O17" s="59">
        <v>98</v>
      </c>
      <c r="P17" s="59">
        <v>7355</v>
      </c>
      <c r="Q17" s="70">
        <v>1.3324000000000001E-2</v>
      </c>
      <c r="R17" s="59">
        <v>115</v>
      </c>
      <c r="S17" s="59">
        <v>7058</v>
      </c>
      <c r="T17" s="70">
        <v>1.6292999999999998E-2</v>
      </c>
      <c r="U17" s="59">
        <v>133</v>
      </c>
      <c r="V17" s="59">
        <v>6989</v>
      </c>
      <c r="W17" s="70">
        <v>1.9029000000000001E-2</v>
      </c>
      <c r="X17" s="59">
        <v>119</v>
      </c>
      <c r="Y17" s="59">
        <v>6581</v>
      </c>
      <c r="Z17" s="70">
        <v>1.8082000000000001E-2</v>
      </c>
      <c r="AA17" s="59">
        <v>71</v>
      </c>
      <c r="AB17" s="59">
        <v>6408</v>
      </c>
      <c r="AC17" s="70">
        <v>1.1079E-2</v>
      </c>
      <c r="AD17" s="59">
        <v>57</v>
      </c>
      <c r="AE17" s="59">
        <v>6096</v>
      </c>
      <c r="AF17" s="70">
        <v>9.3500000000000007E-3</v>
      </c>
    </row>
    <row r="18" spans="2:32" x14ac:dyDescent="0.2">
      <c r="B18" s="69" t="s">
        <v>25</v>
      </c>
      <c r="C18" s="59">
        <v>76</v>
      </c>
      <c r="D18" s="59">
        <v>8852</v>
      </c>
      <c r="E18" s="70">
        <v>8.5850000000000006E-3</v>
      </c>
      <c r="F18" s="59">
        <v>66</v>
      </c>
      <c r="G18" s="59">
        <v>8712</v>
      </c>
      <c r="H18" s="70">
        <v>7.5750000000000001E-3</v>
      </c>
      <c r="I18" s="59">
        <v>73</v>
      </c>
      <c r="J18" s="59">
        <v>8559</v>
      </c>
      <c r="K18" s="70">
        <v>8.5290000000000001E-3</v>
      </c>
      <c r="L18" s="59">
        <v>69</v>
      </c>
      <c r="M18" s="59">
        <v>8347</v>
      </c>
      <c r="N18" s="70">
        <v>8.2660000000000008E-3</v>
      </c>
      <c r="O18" s="59">
        <v>93</v>
      </c>
      <c r="P18" s="59">
        <v>8495</v>
      </c>
      <c r="Q18" s="70">
        <v>1.0947E-2</v>
      </c>
      <c r="R18" s="59">
        <v>109</v>
      </c>
      <c r="S18" s="59">
        <v>8628</v>
      </c>
      <c r="T18" s="70">
        <v>1.2633E-2</v>
      </c>
      <c r="U18" s="59">
        <v>104</v>
      </c>
      <c r="V18" s="59">
        <v>8881</v>
      </c>
      <c r="W18" s="70">
        <v>1.171E-2</v>
      </c>
      <c r="X18" s="59">
        <v>100</v>
      </c>
      <c r="Y18" s="59">
        <v>8895</v>
      </c>
      <c r="Z18" s="70">
        <v>1.1242E-2</v>
      </c>
      <c r="AA18" s="59">
        <v>93</v>
      </c>
      <c r="AB18" s="59">
        <v>8824</v>
      </c>
      <c r="AC18" s="70">
        <v>1.0539E-2</v>
      </c>
      <c r="AD18" s="59">
        <v>72</v>
      </c>
      <c r="AE18" s="59">
        <v>8806</v>
      </c>
      <c r="AF18" s="70">
        <v>8.1759999999999992E-3</v>
      </c>
    </row>
    <row r="19" spans="2:32" x14ac:dyDescent="0.2">
      <c r="B19" s="71" t="s">
        <v>26</v>
      </c>
      <c r="C19" s="62">
        <v>94</v>
      </c>
      <c r="D19" s="62">
        <v>14490</v>
      </c>
      <c r="E19" s="72">
        <v>6.4869999999999997E-3</v>
      </c>
      <c r="F19" s="62">
        <v>95</v>
      </c>
      <c r="G19" s="62">
        <v>15100</v>
      </c>
      <c r="H19" s="72">
        <v>6.2909999999999997E-3</v>
      </c>
      <c r="I19" s="62">
        <v>101</v>
      </c>
      <c r="J19" s="62">
        <v>15411</v>
      </c>
      <c r="K19" s="72">
        <v>6.5529999999999998E-3</v>
      </c>
      <c r="L19" s="62">
        <v>104</v>
      </c>
      <c r="M19" s="62">
        <v>15845</v>
      </c>
      <c r="N19" s="72">
        <v>6.5630000000000003E-3</v>
      </c>
      <c r="O19" s="62">
        <v>126</v>
      </c>
      <c r="P19" s="62">
        <v>16086</v>
      </c>
      <c r="Q19" s="72">
        <v>7.8320000000000004E-3</v>
      </c>
      <c r="R19" s="62">
        <v>152</v>
      </c>
      <c r="S19" s="62">
        <v>16606</v>
      </c>
      <c r="T19" s="72">
        <v>9.1529999999999997E-3</v>
      </c>
      <c r="U19" s="62">
        <v>129</v>
      </c>
      <c r="V19" s="62">
        <v>17006</v>
      </c>
      <c r="W19" s="72">
        <v>7.5849999999999997E-3</v>
      </c>
      <c r="X19" s="62">
        <v>119</v>
      </c>
      <c r="Y19" s="62">
        <v>17336</v>
      </c>
      <c r="Z19" s="72">
        <v>6.8640000000000003E-3</v>
      </c>
      <c r="AA19" s="62">
        <v>130</v>
      </c>
      <c r="AB19" s="62">
        <v>17552</v>
      </c>
      <c r="AC19" s="72">
        <v>7.4060000000000003E-3</v>
      </c>
      <c r="AD19" s="62">
        <v>110</v>
      </c>
      <c r="AE19" s="62">
        <v>17691</v>
      </c>
      <c r="AF19" s="72">
        <v>6.2170000000000003E-3</v>
      </c>
    </row>
    <row r="20" spans="2:32" x14ac:dyDescent="0.2">
      <c r="B20" s="20" t="s">
        <v>27</v>
      </c>
      <c r="C20" s="21">
        <f>SUBTOTAL(109,'% NRA Trend'!$C$6:$C$19)</f>
        <v>1563</v>
      </c>
      <c r="D20" s="21">
        <f>SUBTOTAL(109,'% NRA Trend'!$D$6:$D$19)</f>
        <v>119513</v>
      </c>
      <c r="E20" s="22">
        <f>'% NRA Trend'!$C$20 / '% NRA Trend'!$D$20</f>
        <v>1.3078075188473221E-2</v>
      </c>
      <c r="F20" s="21">
        <f>SUBTOTAL(109,'% NRA Trend'!$F$6:$F$19)</f>
        <v>1465</v>
      </c>
      <c r="G20" s="21">
        <f>SUBTOTAL(109,'% NRA Trend'!$G$6:$G$19)</f>
        <v>118224</v>
      </c>
      <c r="H20" s="22">
        <f>'% NRA Trend'!$F$20 / '% NRA Trend'!$G$20</f>
        <v>1.2391730951414265E-2</v>
      </c>
      <c r="I20" s="21">
        <f>SUBTOTAL(109,'% NRA Trend'!$I$6:$I$19)</f>
        <v>1671</v>
      </c>
      <c r="J20" s="21">
        <f>SUBTOTAL(109,'% NRA Trend'!$J$6:$J$19)</f>
        <v>114688</v>
      </c>
      <c r="K20" s="22">
        <f>'% NRA Trend'!$I$20 / '% NRA Trend'!$J$20</f>
        <v>1.4569963727678572E-2</v>
      </c>
      <c r="L20" s="21">
        <f>SUBTOTAL(109,'% NRA Trend'!$L$6:$L$19)</f>
        <v>1813</v>
      </c>
      <c r="M20" s="21">
        <f>SUBTOTAL(109,'% NRA Trend'!$M$6:$M$19)</f>
        <v>112225</v>
      </c>
      <c r="N20" s="22">
        <f>'% NRA Trend'!$L$20 / '% NRA Trend'!$M$20</f>
        <v>1.6155045667186455E-2</v>
      </c>
      <c r="O20" s="21">
        <f>SUBTOTAL(109,'% NRA Trend'!$O$6:$O$19)</f>
        <v>1922</v>
      </c>
      <c r="P20" s="21">
        <f>SUBTOTAL(109,'% NRA Trend'!$P$6:$P$19)</f>
        <v>109808</v>
      </c>
      <c r="Q20" s="22">
        <f>'% NRA Trend'!$O$20 / '% NRA Trend'!$P$20</f>
        <v>1.7503278449657583E-2</v>
      </c>
      <c r="R20" s="21">
        <f>SUBTOTAL(109,'% NRA Trend'!$R$6:$R$19)</f>
        <v>1988</v>
      </c>
      <c r="S20" s="21">
        <f>SUBTOTAL(109,'% NRA Trend'!$S$6:$S$19)</f>
        <v>107399</v>
      </c>
      <c r="T20" s="22">
        <f>'% NRA Trend'!$R$20 / '% NRA Trend'!$S$20</f>
        <v>1.8510414435888602E-2</v>
      </c>
      <c r="U20" s="21">
        <f>SUBTOTAL(109,'% NRA Trend'!$U$6:$U$19)</f>
        <v>1781</v>
      </c>
      <c r="V20" s="21">
        <f>SUBTOTAL(109,'% NRA Trend'!$V$6:$V$19)</f>
        <v>105049</v>
      </c>
      <c r="W20" s="22">
        <f>'% NRA Trend'!$U$20 / '% NRA Trend'!$V$20</f>
        <v>1.6953992898552105E-2</v>
      </c>
      <c r="X20" s="21">
        <f>SUBTOTAL(109,'% NRA Trend'!$X$6:$X$19)</f>
        <v>1647</v>
      </c>
      <c r="Y20" s="21">
        <f>SUBTOTAL(109,'% NRA Trend'!$Y$6:$Y$19)</f>
        <v>102572</v>
      </c>
      <c r="Z20" s="22">
        <f>'% NRA Trend'!$X$20 / '% NRA Trend'!$Y$20</f>
        <v>1.6057013609952035E-2</v>
      </c>
      <c r="AA20" s="21">
        <f>SUBTOTAL(109,'% NRA Trend'!$AA$6:$AA$19)</f>
        <v>1452</v>
      </c>
      <c r="AB20" s="21">
        <f>SUBTOTAL(109,'% NRA Trend'!$AB$6:$AB$19)</f>
        <v>98363</v>
      </c>
      <c r="AC20" s="22">
        <f>'% NRA Trend'!$AA$20 / '% NRA Trend'!$AB$20</f>
        <v>1.4761648180718359E-2</v>
      </c>
      <c r="AD20" s="21">
        <f>SUBTOTAL(109,'% NRA Trend'!$AD$6:$AD$19)</f>
        <v>1252</v>
      </c>
      <c r="AE20" s="21">
        <f>SUBTOTAL(109,'% NRA Trend'!$AE$6:$AE$19)</f>
        <v>95802</v>
      </c>
      <c r="AF20" s="22">
        <f>'% NRA Trend'!$AD$20 / '% NRA Trend'!$AE$20</f>
        <v>1.3068620696853928E-2</v>
      </c>
    </row>
    <row r="23" spans="2:32" ht="15" x14ac:dyDescent="0.2">
      <c r="B23" s="131" t="s">
        <v>120</v>
      </c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</row>
    <row r="24" spans="2:32" x14ac:dyDescent="0.2">
      <c r="B24" s="134" t="s">
        <v>1</v>
      </c>
      <c r="C24" s="133" t="str">
        <f>CONCATENATE(IF(RIGHT(Parameters!B1,1) = "1","Fall ", "Spring "),IF(RIGHT(Parameters!B1,1) = "1",LEFT(Parameters!B1,4) -9, LEFT(Parameters!B1,4) - 8))</f>
        <v>Fall 2010</v>
      </c>
      <c r="D24" s="133"/>
      <c r="E24" s="133"/>
      <c r="F24" s="133" t="str">
        <f>CONCATENATE(IF(RIGHT(Parameters!B1,1) = "1","Fall ", "Spring "),IF(RIGHT(Parameters!B1,1) = "1",LEFT(Parameters!B1,4) -8, LEFT(Parameters!B1,4) - 7))</f>
        <v>Fall 2011</v>
      </c>
      <c r="G24" s="133"/>
      <c r="H24" s="133"/>
      <c r="I24" s="133" t="str">
        <f>CONCATENATE(IF(RIGHT(Parameters!B1,1) = "1","Fall ", "Spring "),IF(RIGHT(Parameters!B1,1) = "1",LEFT(Parameters!B1,4) -7, LEFT(Parameters!B1,4) - 6))</f>
        <v>Fall 2012</v>
      </c>
      <c r="J24" s="133"/>
      <c r="K24" s="133"/>
      <c r="L24" s="133" t="str">
        <f>CONCATENATE(IF(RIGHT(Parameters!B1,1) = "1","Fall ", "Spring "),IF(RIGHT(Parameters!B1,1) = "1",LEFT(Parameters!B1,4) -6, LEFT(Parameters!B1,4) - 5))</f>
        <v>Fall 2013</v>
      </c>
      <c r="M24" s="133"/>
      <c r="N24" s="133"/>
      <c r="O24" s="133" t="str">
        <f>CONCATENATE(IF(RIGHT(Parameters!B1,1) = "1","Fall ", "Spring "),IF(RIGHT(Parameters!B1,1) = "1",LEFT(Parameters!B1,4) -5, LEFT(Parameters!B1,4) - 4))</f>
        <v>Fall 2014</v>
      </c>
      <c r="P24" s="133"/>
      <c r="Q24" s="133"/>
      <c r="R24" s="133" t="str">
        <f>CONCATENATE(IF(RIGHT(Parameters!B1,1) = "1","Fall ", "Spring "),IF(RIGHT(Parameters!B1,1) = "1",LEFT(Parameters!B1,4) -4, LEFT(Parameters!B1,4) - 3))</f>
        <v>Fall 2015</v>
      </c>
      <c r="S24" s="133"/>
      <c r="T24" s="133"/>
      <c r="U24" s="133" t="str">
        <f>CONCATENATE(IF(RIGHT(Parameters!B1,1) = "1","Fall ", "Spring "),IF(RIGHT(Parameters!B1,1) = "1",LEFT(Parameters!B1,4) -3, LEFT(Parameters!B1,4) -2 ))</f>
        <v>Fall 2016</v>
      </c>
      <c r="V24" s="133"/>
      <c r="W24" s="133"/>
      <c r="X24" s="133" t="str">
        <f>CONCATENATE(IF(RIGHT(Parameters!B1,1) = "1","Fall ", "Spring "),IF(RIGHT(Parameters!B1,1) = "1",LEFT(Parameters!B1,4) -2, LEFT(Parameters!B1,4) -1 ))</f>
        <v>Fall 2017</v>
      </c>
      <c r="Y24" s="133"/>
      <c r="Z24" s="133"/>
      <c r="AA24" s="133" t="str">
        <f>CONCATENATE(IF(RIGHT(Parameters!B1,1) = "1","Fall ", "Spring "),IF(RIGHT(Parameters!B1,1) = "1",LEFT(Parameters!B1,4) -1, LEFT(Parameters!B1,4)  ))</f>
        <v>Fall 2018</v>
      </c>
      <c r="AB24" s="133"/>
      <c r="AC24" s="133"/>
      <c r="AD24" s="133" t="str">
        <f>CONCATENATE(IF(RIGHT(Parameters!B1,1) = "1","Fall ", "Spring "),IF(RIGHT(Parameters!B1,1) = "1",LEFT(Parameters!B1,4), LEFT(Parameters!B1,4) + 1))</f>
        <v>Fall 2019</v>
      </c>
      <c r="AE24" s="133"/>
      <c r="AF24" s="133"/>
    </row>
    <row r="25" spans="2:32" ht="42.75" x14ac:dyDescent="0.2">
      <c r="B25" s="135"/>
      <c r="C25" s="54" t="s">
        <v>118</v>
      </c>
      <c r="D25" s="54" t="s">
        <v>82</v>
      </c>
      <c r="E25" s="54" t="s">
        <v>119</v>
      </c>
      <c r="F25" s="54" t="s">
        <v>118</v>
      </c>
      <c r="G25" s="54" t="s">
        <v>82</v>
      </c>
      <c r="H25" s="54" t="s">
        <v>119</v>
      </c>
      <c r="I25" s="54" t="s">
        <v>118</v>
      </c>
      <c r="J25" s="54" t="s">
        <v>82</v>
      </c>
      <c r="K25" s="54" t="s">
        <v>119</v>
      </c>
      <c r="L25" s="54" t="s">
        <v>118</v>
      </c>
      <c r="M25" s="54" t="s">
        <v>82</v>
      </c>
      <c r="N25" s="54" t="s">
        <v>119</v>
      </c>
      <c r="O25" s="54" t="s">
        <v>118</v>
      </c>
      <c r="P25" s="54" t="s">
        <v>82</v>
      </c>
      <c r="Q25" s="54" t="s">
        <v>119</v>
      </c>
      <c r="R25" s="54" t="s">
        <v>118</v>
      </c>
      <c r="S25" s="54" t="s">
        <v>82</v>
      </c>
      <c r="T25" s="54" t="s">
        <v>119</v>
      </c>
      <c r="U25" s="54" t="s">
        <v>118</v>
      </c>
      <c r="V25" s="54" t="s">
        <v>82</v>
      </c>
      <c r="W25" s="54" t="s">
        <v>119</v>
      </c>
      <c r="X25" s="54" t="s">
        <v>118</v>
      </c>
      <c r="Y25" s="54" t="s">
        <v>82</v>
      </c>
      <c r="Z25" s="54" t="s">
        <v>119</v>
      </c>
      <c r="AA25" s="54" t="s">
        <v>118</v>
      </c>
      <c r="AB25" s="54" t="s">
        <v>82</v>
      </c>
      <c r="AC25" s="54" t="s">
        <v>119</v>
      </c>
      <c r="AD25" s="54" t="s">
        <v>118</v>
      </c>
      <c r="AE25" s="54" t="s">
        <v>82</v>
      </c>
      <c r="AF25" s="54" t="s">
        <v>119</v>
      </c>
    </row>
    <row r="26" spans="2:32" ht="16.5" hidden="1" customHeight="1" x14ac:dyDescent="0.2">
      <c r="B26" s="26" t="s">
        <v>2</v>
      </c>
      <c r="C26" s="26" t="s">
        <v>84</v>
      </c>
      <c r="D26" s="26" t="s">
        <v>85</v>
      </c>
      <c r="E26" s="26" t="s">
        <v>86</v>
      </c>
      <c r="F26" s="26" t="s">
        <v>87</v>
      </c>
      <c r="G26" s="26" t="s">
        <v>88</v>
      </c>
      <c r="H26" s="26" t="s">
        <v>89</v>
      </c>
      <c r="I26" s="26" t="s">
        <v>90</v>
      </c>
      <c r="J26" s="26" t="s">
        <v>91</v>
      </c>
      <c r="K26" s="26" t="s">
        <v>92</v>
      </c>
      <c r="L26" s="26" t="s">
        <v>93</v>
      </c>
      <c r="M26" s="26" t="s">
        <v>94</v>
      </c>
      <c r="N26" s="26" t="s">
        <v>95</v>
      </c>
      <c r="O26" s="26" t="s">
        <v>96</v>
      </c>
      <c r="P26" s="26" t="s">
        <v>97</v>
      </c>
      <c r="Q26" s="26" t="s">
        <v>98</v>
      </c>
      <c r="R26" s="26" t="s">
        <v>99</v>
      </c>
      <c r="S26" s="26" t="s">
        <v>100</v>
      </c>
      <c r="T26" s="26" t="s">
        <v>101</v>
      </c>
      <c r="U26" s="26" t="s">
        <v>102</v>
      </c>
      <c r="V26" s="26" t="s">
        <v>103</v>
      </c>
      <c r="W26" s="26" t="s">
        <v>104</v>
      </c>
      <c r="X26" s="26" t="s">
        <v>105</v>
      </c>
      <c r="Y26" s="26" t="s">
        <v>106</v>
      </c>
      <c r="Z26" s="26" t="s">
        <v>107</v>
      </c>
      <c r="AA26" s="26" t="s">
        <v>108</v>
      </c>
      <c r="AB26" s="26" t="s">
        <v>109</v>
      </c>
      <c r="AC26" s="26" t="s">
        <v>110</v>
      </c>
      <c r="AD26" s="26" t="s">
        <v>111</v>
      </c>
      <c r="AE26" s="26" t="s">
        <v>112</v>
      </c>
      <c r="AF26" s="26" t="s">
        <v>113</v>
      </c>
    </row>
    <row r="27" spans="2:32" x14ac:dyDescent="0.2">
      <c r="B27" s="67" t="s">
        <v>13</v>
      </c>
      <c r="C27" s="57">
        <v>97</v>
      </c>
      <c r="D27" s="57">
        <v>9136</v>
      </c>
      <c r="E27" s="68">
        <v>1.0617E-2</v>
      </c>
      <c r="F27" s="57">
        <v>110</v>
      </c>
      <c r="G27" s="57">
        <v>9256</v>
      </c>
      <c r="H27" s="68">
        <v>1.1884E-2</v>
      </c>
      <c r="I27" s="57">
        <v>154</v>
      </c>
      <c r="J27" s="57">
        <v>9203</v>
      </c>
      <c r="K27" s="68">
        <v>1.6733000000000001E-2</v>
      </c>
      <c r="L27" s="57">
        <v>116</v>
      </c>
      <c r="M27" s="57">
        <v>9416</v>
      </c>
      <c r="N27" s="68">
        <v>1.2319E-2</v>
      </c>
      <c r="O27" s="57">
        <v>108</v>
      </c>
      <c r="P27" s="57">
        <v>9319</v>
      </c>
      <c r="Q27" s="68">
        <v>1.1589E-2</v>
      </c>
      <c r="R27" s="57">
        <v>88</v>
      </c>
      <c r="S27" s="57">
        <v>9158</v>
      </c>
      <c r="T27" s="68">
        <v>9.6089999999999995E-3</v>
      </c>
      <c r="U27" s="57">
        <v>50</v>
      </c>
      <c r="V27" s="57">
        <v>8995</v>
      </c>
      <c r="W27" s="68">
        <v>5.5579999999999996E-3</v>
      </c>
      <c r="X27" s="57">
        <v>64</v>
      </c>
      <c r="Y27" s="57">
        <v>8606</v>
      </c>
      <c r="Z27" s="68">
        <v>7.4359999999999999E-3</v>
      </c>
      <c r="AA27" s="57">
        <v>45</v>
      </c>
      <c r="AB27" s="57">
        <v>8253</v>
      </c>
      <c r="AC27" s="68">
        <v>5.4520000000000002E-3</v>
      </c>
      <c r="AD27" s="57">
        <v>45</v>
      </c>
      <c r="AE27" s="57">
        <v>7992</v>
      </c>
      <c r="AF27" s="68">
        <v>5.6299999999999996E-3</v>
      </c>
    </row>
    <row r="28" spans="2:32" x14ac:dyDescent="0.2">
      <c r="B28" s="69" t="s">
        <v>14</v>
      </c>
      <c r="C28" s="59">
        <v>105</v>
      </c>
      <c r="D28" s="59">
        <v>7419</v>
      </c>
      <c r="E28" s="70">
        <v>1.4152E-2</v>
      </c>
      <c r="F28" s="59">
        <v>57</v>
      </c>
      <c r="G28" s="59">
        <v>7417</v>
      </c>
      <c r="H28" s="70">
        <v>7.685E-3</v>
      </c>
      <c r="I28" s="59">
        <v>55</v>
      </c>
      <c r="J28" s="59">
        <v>6681</v>
      </c>
      <c r="K28" s="70">
        <v>8.2319999999999997E-3</v>
      </c>
      <c r="L28" s="59">
        <v>52</v>
      </c>
      <c r="M28" s="59">
        <v>6450</v>
      </c>
      <c r="N28" s="70">
        <v>8.0619999999999997E-3</v>
      </c>
      <c r="O28" s="59">
        <v>50</v>
      </c>
      <c r="P28" s="59">
        <v>6076</v>
      </c>
      <c r="Q28" s="70">
        <v>8.2290000000000002E-3</v>
      </c>
      <c r="R28" s="59">
        <v>46</v>
      </c>
      <c r="S28" s="59">
        <v>5785</v>
      </c>
      <c r="T28" s="70">
        <v>7.9509999999999997E-3</v>
      </c>
      <c r="U28" s="59">
        <v>42</v>
      </c>
      <c r="V28" s="59">
        <v>5522</v>
      </c>
      <c r="W28" s="70">
        <v>7.6049999999999998E-3</v>
      </c>
      <c r="X28" s="59">
        <v>42</v>
      </c>
      <c r="Y28" s="59">
        <v>5557</v>
      </c>
      <c r="Z28" s="70">
        <v>7.5579999999999996E-3</v>
      </c>
      <c r="AA28" s="59">
        <v>50</v>
      </c>
      <c r="AB28" s="59">
        <v>5174</v>
      </c>
      <c r="AC28" s="70">
        <v>9.6629999999999997E-3</v>
      </c>
      <c r="AD28" s="59">
        <v>37</v>
      </c>
      <c r="AE28" s="59">
        <v>4856</v>
      </c>
      <c r="AF28" s="70">
        <v>7.6189999999999999E-3</v>
      </c>
    </row>
    <row r="29" spans="2:32" x14ac:dyDescent="0.2">
      <c r="B29" s="69" t="s">
        <v>15</v>
      </c>
      <c r="C29" s="59">
        <v>1</v>
      </c>
      <c r="D29" s="59">
        <v>1508</v>
      </c>
      <c r="E29" s="70">
        <v>6.6299999999999996E-4</v>
      </c>
      <c r="F29" s="59">
        <v>0</v>
      </c>
      <c r="G29" s="59">
        <v>1141</v>
      </c>
      <c r="H29" s="70">
        <v>0</v>
      </c>
      <c r="I29" s="59">
        <v>0</v>
      </c>
      <c r="J29" s="59">
        <v>1224</v>
      </c>
      <c r="K29" s="70">
        <v>0</v>
      </c>
      <c r="L29" s="59">
        <v>0</v>
      </c>
      <c r="M29" s="59">
        <v>1179</v>
      </c>
      <c r="N29" s="70">
        <v>0</v>
      </c>
      <c r="O29" s="59">
        <v>2</v>
      </c>
      <c r="P29" s="59">
        <v>997</v>
      </c>
      <c r="Q29" s="70">
        <v>2.006E-3</v>
      </c>
      <c r="R29" s="59">
        <v>3</v>
      </c>
      <c r="S29" s="59">
        <v>686</v>
      </c>
      <c r="T29" s="70">
        <v>4.3730000000000002E-3</v>
      </c>
      <c r="U29" s="59">
        <v>2</v>
      </c>
      <c r="V29" s="59">
        <v>709</v>
      </c>
      <c r="W29" s="70">
        <v>2.82E-3</v>
      </c>
      <c r="X29" s="59">
        <v>0</v>
      </c>
      <c r="Y29" s="59">
        <v>723</v>
      </c>
      <c r="Z29" s="70">
        <v>0</v>
      </c>
      <c r="AA29" s="59">
        <v>0</v>
      </c>
      <c r="AB29" s="59">
        <v>469</v>
      </c>
      <c r="AC29" s="70">
        <v>0</v>
      </c>
      <c r="AD29" s="59">
        <v>2</v>
      </c>
      <c r="AE29" s="59">
        <v>618</v>
      </c>
      <c r="AF29" s="70">
        <v>3.2360000000000002E-3</v>
      </c>
    </row>
    <row r="30" spans="2:32" x14ac:dyDescent="0.2">
      <c r="B30" s="69" t="s">
        <v>16</v>
      </c>
      <c r="C30" s="59">
        <v>31</v>
      </c>
      <c r="D30" s="59">
        <v>6225</v>
      </c>
      <c r="E30" s="70">
        <v>4.9789999999999999E-3</v>
      </c>
      <c r="F30" s="59">
        <v>39</v>
      </c>
      <c r="G30" s="59">
        <v>5876</v>
      </c>
      <c r="H30" s="70">
        <v>6.6369999999999997E-3</v>
      </c>
      <c r="I30" s="59">
        <v>30</v>
      </c>
      <c r="J30" s="59">
        <v>5518</v>
      </c>
      <c r="K30" s="70">
        <v>5.4359999999999999E-3</v>
      </c>
      <c r="L30" s="59">
        <v>33</v>
      </c>
      <c r="M30" s="59">
        <v>5199</v>
      </c>
      <c r="N30" s="70">
        <v>6.3470000000000002E-3</v>
      </c>
      <c r="O30" s="59">
        <v>80</v>
      </c>
      <c r="P30" s="59">
        <v>4906</v>
      </c>
      <c r="Q30" s="70">
        <v>1.6306000000000001E-2</v>
      </c>
      <c r="R30" s="59">
        <v>38</v>
      </c>
      <c r="S30" s="59">
        <v>4555</v>
      </c>
      <c r="T30" s="70">
        <v>8.3420000000000005E-3</v>
      </c>
      <c r="U30" s="59">
        <v>21</v>
      </c>
      <c r="V30" s="59">
        <v>4330</v>
      </c>
      <c r="W30" s="70">
        <v>4.849E-3</v>
      </c>
      <c r="X30" s="59">
        <v>14</v>
      </c>
      <c r="Y30" s="59">
        <v>4321</v>
      </c>
      <c r="Z30" s="70">
        <v>3.2390000000000001E-3</v>
      </c>
      <c r="AA30" s="59">
        <v>13</v>
      </c>
      <c r="AB30" s="59">
        <v>3942</v>
      </c>
      <c r="AC30" s="70">
        <v>3.297E-3</v>
      </c>
      <c r="AD30" s="59">
        <v>17</v>
      </c>
      <c r="AE30" s="59">
        <v>3776</v>
      </c>
      <c r="AF30" s="70">
        <v>4.5019999999999999E-3</v>
      </c>
    </row>
    <row r="31" spans="2:32" x14ac:dyDescent="0.2">
      <c r="B31" s="69" t="s">
        <v>17</v>
      </c>
      <c r="C31" s="59">
        <v>51</v>
      </c>
      <c r="D31" s="59">
        <v>6372</v>
      </c>
      <c r="E31" s="70">
        <v>8.0029999999999997E-3</v>
      </c>
      <c r="F31" s="59">
        <v>52</v>
      </c>
      <c r="G31" s="59">
        <v>6656</v>
      </c>
      <c r="H31" s="70">
        <v>7.8120000000000004E-3</v>
      </c>
      <c r="I31" s="59">
        <v>60</v>
      </c>
      <c r="J31" s="59">
        <v>6355</v>
      </c>
      <c r="K31" s="70">
        <v>9.4409999999999997E-3</v>
      </c>
      <c r="L31" s="59">
        <v>56</v>
      </c>
      <c r="M31" s="59">
        <v>6186</v>
      </c>
      <c r="N31" s="70">
        <v>9.0519999999999993E-3</v>
      </c>
      <c r="O31" s="59">
        <v>59</v>
      </c>
      <c r="P31" s="59">
        <v>6204</v>
      </c>
      <c r="Q31" s="70">
        <v>9.5090000000000001E-3</v>
      </c>
      <c r="R31" s="59">
        <v>79</v>
      </c>
      <c r="S31" s="59">
        <v>6167</v>
      </c>
      <c r="T31" s="70">
        <v>1.281E-2</v>
      </c>
      <c r="U31" s="59">
        <v>40</v>
      </c>
      <c r="V31" s="59">
        <v>6159</v>
      </c>
      <c r="W31" s="70">
        <v>6.4939999999999998E-3</v>
      </c>
      <c r="X31" s="59">
        <v>48</v>
      </c>
      <c r="Y31" s="59">
        <v>6051</v>
      </c>
      <c r="Z31" s="70">
        <v>7.9319999999999998E-3</v>
      </c>
      <c r="AA31" s="59">
        <v>49</v>
      </c>
      <c r="AB31" s="59">
        <v>5713</v>
      </c>
      <c r="AC31" s="70">
        <v>8.5760000000000003E-3</v>
      </c>
      <c r="AD31" s="59">
        <v>37</v>
      </c>
      <c r="AE31" s="59">
        <v>5417</v>
      </c>
      <c r="AF31" s="70">
        <v>6.8300000000000001E-3</v>
      </c>
    </row>
    <row r="32" spans="2:32" x14ac:dyDescent="0.2">
      <c r="B32" s="69" t="s">
        <v>18</v>
      </c>
      <c r="C32" s="59">
        <v>55</v>
      </c>
      <c r="D32" s="59">
        <v>6697</v>
      </c>
      <c r="E32" s="70">
        <v>8.2120000000000005E-3</v>
      </c>
      <c r="F32" s="59">
        <v>80</v>
      </c>
      <c r="G32" s="59">
        <v>6649</v>
      </c>
      <c r="H32" s="70">
        <v>1.2031E-2</v>
      </c>
      <c r="I32" s="59">
        <v>78</v>
      </c>
      <c r="J32" s="59">
        <v>6090</v>
      </c>
      <c r="K32" s="70">
        <v>1.2807000000000001E-2</v>
      </c>
      <c r="L32" s="59">
        <v>100</v>
      </c>
      <c r="M32" s="59">
        <v>5864</v>
      </c>
      <c r="N32" s="70">
        <v>1.7052999999999999E-2</v>
      </c>
      <c r="O32" s="59">
        <v>106</v>
      </c>
      <c r="P32" s="59">
        <v>5595</v>
      </c>
      <c r="Q32" s="70">
        <v>1.8945E-2</v>
      </c>
      <c r="R32" s="59">
        <v>92</v>
      </c>
      <c r="S32" s="59">
        <v>5247</v>
      </c>
      <c r="T32" s="70">
        <v>1.7533E-2</v>
      </c>
      <c r="U32" s="59">
        <v>81</v>
      </c>
      <c r="V32" s="59">
        <v>4840</v>
      </c>
      <c r="W32" s="70">
        <v>1.6735E-2</v>
      </c>
      <c r="X32" s="59">
        <v>69</v>
      </c>
      <c r="Y32" s="59">
        <v>4291</v>
      </c>
      <c r="Z32" s="70">
        <v>1.6080000000000001E-2</v>
      </c>
      <c r="AA32" s="59">
        <v>49</v>
      </c>
      <c r="AB32" s="59">
        <v>3572</v>
      </c>
      <c r="AC32" s="70">
        <v>1.3717E-2</v>
      </c>
      <c r="AD32" s="59">
        <v>46</v>
      </c>
      <c r="AE32" s="59">
        <v>3399</v>
      </c>
      <c r="AF32" s="70">
        <v>1.3533E-2</v>
      </c>
    </row>
    <row r="33" spans="2:32" x14ac:dyDescent="0.2">
      <c r="B33" s="69" t="s">
        <v>19</v>
      </c>
      <c r="C33" s="59">
        <v>322</v>
      </c>
      <c r="D33" s="59">
        <v>12827</v>
      </c>
      <c r="E33" s="70">
        <v>2.5103E-2</v>
      </c>
      <c r="F33" s="59">
        <v>329</v>
      </c>
      <c r="G33" s="59">
        <v>12943</v>
      </c>
      <c r="H33" s="70">
        <v>2.5419000000000001E-2</v>
      </c>
      <c r="I33" s="59">
        <v>443</v>
      </c>
      <c r="J33" s="59">
        <v>13275</v>
      </c>
      <c r="K33" s="70">
        <v>3.3369999999999997E-2</v>
      </c>
      <c r="L33" s="59">
        <v>449</v>
      </c>
      <c r="M33" s="59">
        <v>12668</v>
      </c>
      <c r="N33" s="70">
        <v>3.5443000000000002E-2</v>
      </c>
      <c r="O33" s="59">
        <v>500</v>
      </c>
      <c r="P33" s="59">
        <v>12332</v>
      </c>
      <c r="Q33" s="70">
        <v>4.0543999999999997E-2</v>
      </c>
      <c r="R33" s="59">
        <v>486</v>
      </c>
      <c r="S33" s="59">
        <v>11797</v>
      </c>
      <c r="T33" s="70">
        <v>4.1196000000000003E-2</v>
      </c>
      <c r="U33" s="59">
        <v>434</v>
      </c>
      <c r="V33" s="59">
        <v>10879</v>
      </c>
      <c r="W33" s="70">
        <v>3.9892999999999998E-2</v>
      </c>
      <c r="X33" s="59">
        <v>381</v>
      </c>
      <c r="Y33" s="59">
        <v>10389</v>
      </c>
      <c r="Z33" s="70">
        <v>3.6672999999999997E-2</v>
      </c>
      <c r="AA33" s="59">
        <v>351</v>
      </c>
      <c r="AB33" s="59">
        <v>9471</v>
      </c>
      <c r="AC33" s="70">
        <v>3.7060000000000003E-2</v>
      </c>
      <c r="AD33" s="59">
        <v>229</v>
      </c>
      <c r="AE33" s="59">
        <v>8567</v>
      </c>
      <c r="AF33" s="70">
        <v>2.673E-2</v>
      </c>
    </row>
    <row r="34" spans="2:32" x14ac:dyDescent="0.2">
      <c r="B34" s="69" t="s">
        <v>20</v>
      </c>
      <c r="C34" s="59">
        <v>79</v>
      </c>
      <c r="D34" s="59">
        <v>9725</v>
      </c>
      <c r="E34" s="70">
        <v>8.123E-3</v>
      </c>
      <c r="F34" s="59">
        <v>78</v>
      </c>
      <c r="G34" s="59">
        <v>9486</v>
      </c>
      <c r="H34" s="70">
        <v>8.2220000000000001E-3</v>
      </c>
      <c r="I34" s="59">
        <v>78</v>
      </c>
      <c r="J34" s="59">
        <v>9135</v>
      </c>
      <c r="K34" s="70">
        <v>8.5380000000000005E-3</v>
      </c>
      <c r="L34" s="59">
        <v>90</v>
      </c>
      <c r="M34" s="59">
        <v>8815</v>
      </c>
      <c r="N34" s="70">
        <v>1.0208999999999999E-2</v>
      </c>
      <c r="O34" s="59">
        <v>87</v>
      </c>
      <c r="P34" s="59">
        <v>8562</v>
      </c>
      <c r="Q34" s="70">
        <v>1.0161E-2</v>
      </c>
      <c r="R34" s="59">
        <v>82</v>
      </c>
      <c r="S34" s="59">
        <v>8293</v>
      </c>
      <c r="T34" s="70">
        <v>9.887E-3</v>
      </c>
      <c r="U34" s="59">
        <v>57</v>
      </c>
      <c r="V34" s="59">
        <v>7718</v>
      </c>
      <c r="W34" s="70">
        <v>7.3850000000000001E-3</v>
      </c>
      <c r="X34" s="59">
        <v>64</v>
      </c>
      <c r="Y34" s="59">
        <v>7489</v>
      </c>
      <c r="Z34" s="70">
        <v>8.5450000000000005E-3</v>
      </c>
      <c r="AA34" s="59">
        <v>68</v>
      </c>
      <c r="AB34" s="59">
        <v>7391</v>
      </c>
      <c r="AC34" s="70">
        <v>9.1999999999999998E-3</v>
      </c>
      <c r="AD34" s="59">
        <v>70</v>
      </c>
      <c r="AE34" s="59">
        <v>7204</v>
      </c>
      <c r="AF34" s="70">
        <v>9.7160000000000007E-3</v>
      </c>
    </row>
    <row r="35" spans="2:32" x14ac:dyDescent="0.2">
      <c r="B35" s="69" t="s">
        <v>21</v>
      </c>
      <c r="C35" s="59">
        <v>72</v>
      </c>
      <c r="D35" s="59">
        <v>5115</v>
      </c>
      <c r="E35" s="70">
        <v>1.4076E-2</v>
      </c>
      <c r="F35" s="59">
        <v>66</v>
      </c>
      <c r="G35" s="59">
        <v>5029</v>
      </c>
      <c r="H35" s="70">
        <v>1.3122999999999999E-2</v>
      </c>
      <c r="I35" s="59">
        <v>41</v>
      </c>
      <c r="J35" s="59">
        <v>4969</v>
      </c>
      <c r="K35" s="70">
        <v>8.2509999999999997E-3</v>
      </c>
      <c r="L35" s="59">
        <v>40</v>
      </c>
      <c r="M35" s="59">
        <v>4855</v>
      </c>
      <c r="N35" s="70">
        <v>8.2380000000000005E-3</v>
      </c>
      <c r="O35" s="59">
        <v>46</v>
      </c>
      <c r="P35" s="59">
        <v>4521</v>
      </c>
      <c r="Q35" s="70">
        <v>1.0174000000000001E-2</v>
      </c>
      <c r="R35" s="59">
        <v>46</v>
      </c>
      <c r="S35" s="59">
        <v>4220</v>
      </c>
      <c r="T35" s="70">
        <v>1.09E-2</v>
      </c>
      <c r="U35" s="59">
        <v>37</v>
      </c>
      <c r="V35" s="59">
        <v>3845</v>
      </c>
      <c r="W35" s="70">
        <v>9.6220000000000003E-3</v>
      </c>
      <c r="X35" s="59">
        <v>33</v>
      </c>
      <c r="Y35" s="59">
        <v>3472</v>
      </c>
      <c r="Z35" s="70">
        <v>9.5040000000000003E-3</v>
      </c>
      <c r="AA35" s="59">
        <v>25</v>
      </c>
      <c r="AB35" s="59">
        <v>3067</v>
      </c>
      <c r="AC35" s="70">
        <v>8.1510000000000003E-3</v>
      </c>
      <c r="AD35" s="59">
        <v>22</v>
      </c>
      <c r="AE35" s="59">
        <v>2752</v>
      </c>
      <c r="AF35" s="70">
        <v>7.9939999999999994E-3</v>
      </c>
    </row>
    <row r="36" spans="2:32" x14ac:dyDescent="0.2">
      <c r="B36" s="69" t="s">
        <v>22</v>
      </c>
      <c r="C36" s="59">
        <v>39</v>
      </c>
      <c r="D36" s="59">
        <v>2945</v>
      </c>
      <c r="E36" s="70">
        <v>1.3242E-2</v>
      </c>
      <c r="F36" s="59">
        <v>25</v>
      </c>
      <c r="G36" s="59">
        <v>2876</v>
      </c>
      <c r="H36" s="70">
        <v>8.6920000000000001E-3</v>
      </c>
      <c r="I36" s="59">
        <v>37</v>
      </c>
      <c r="J36" s="59">
        <v>2824</v>
      </c>
      <c r="K36" s="70">
        <v>1.3101E-2</v>
      </c>
      <c r="L36" s="59">
        <v>34</v>
      </c>
      <c r="M36" s="59">
        <v>2717</v>
      </c>
      <c r="N36" s="70">
        <v>1.2513E-2</v>
      </c>
      <c r="O36" s="59">
        <v>27</v>
      </c>
      <c r="P36" s="59">
        <v>2587</v>
      </c>
      <c r="Q36" s="70">
        <v>1.0436000000000001E-2</v>
      </c>
      <c r="R36" s="59">
        <v>10</v>
      </c>
      <c r="S36" s="59">
        <v>2268</v>
      </c>
      <c r="T36" s="70">
        <v>4.4089999999999997E-3</v>
      </c>
      <c r="U36" s="59">
        <v>15</v>
      </c>
      <c r="V36" s="59">
        <v>2121</v>
      </c>
      <c r="W36" s="70">
        <v>7.0720000000000002E-3</v>
      </c>
      <c r="X36" s="59">
        <v>13</v>
      </c>
      <c r="Y36" s="59">
        <v>1861</v>
      </c>
      <c r="Z36" s="70">
        <v>6.9849999999999999E-3</v>
      </c>
      <c r="AA36" s="59">
        <v>9</v>
      </c>
      <c r="AB36" s="59">
        <v>1612</v>
      </c>
      <c r="AC36" s="70">
        <v>5.5830000000000003E-3</v>
      </c>
      <c r="AD36" s="59">
        <v>14</v>
      </c>
      <c r="AE36" s="59">
        <v>1660</v>
      </c>
      <c r="AF36" s="70">
        <v>8.4329999999999995E-3</v>
      </c>
    </row>
    <row r="37" spans="2:32" x14ac:dyDescent="0.2">
      <c r="B37" s="69" t="s">
        <v>23</v>
      </c>
      <c r="C37" s="59">
        <v>42</v>
      </c>
      <c r="D37" s="59">
        <v>7604</v>
      </c>
      <c r="E37" s="70">
        <v>5.5230000000000001E-3</v>
      </c>
      <c r="F37" s="59">
        <v>38</v>
      </c>
      <c r="G37" s="59">
        <v>7644</v>
      </c>
      <c r="H37" s="70">
        <v>4.9709999999999997E-3</v>
      </c>
      <c r="I37" s="59">
        <v>40</v>
      </c>
      <c r="J37" s="59">
        <v>7424</v>
      </c>
      <c r="K37" s="70">
        <v>5.3870000000000003E-3</v>
      </c>
      <c r="L37" s="59">
        <v>55</v>
      </c>
      <c r="M37" s="59">
        <v>7388</v>
      </c>
      <c r="N37" s="70">
        <v>7.4440000000000001E-3</v>
      </c>
      <c r="O37" s="59">
        <v>52</v>
      </c>
      <c r="P37" s="59">
        <v>7171</v>
      </c>
      <c r="Q37" s="70">
        <v>7.2509999999999996E-3</v>
      </c>
      <c r="R37" s="59">
        <v>47</v>
      </c>
      <c r="S37" s="59">
        <v>7084</v>
      </c>
      <c r="T37" s="70">
        <v>6.6340000000000001E-3</v>
      </c>
      <c r="U37" s="59">
        <v>47</v>
      </c>
      <c r="V37" s="59">
        <v>6980</v>
      </c>
      <c r="W37" s="70">
        <v>6.7330000000000003E-3</v>
      </c>
      <c r="X37" s="59">
        <v>57</v>
      </c>
      <c r="Y37" s="59">
        <v>6778</v>
      </c>
      <c r="Z37" s="70">
        <v>8.4089999999999998E-3</v>
      </c>
      <c r="AA37" s="59">
        <v>64</v>
      </c>
      <c r="AB37" s="59">
        <v>6779</v>
      </c>
      <c r="AC37" s="70">
        <v>9.4400000000000005E-3</v>
      </c>
      <c r="AD37" s="59">
        <v>74</v>
      </c>
      <c r="AE37" s="59">
        <v>6794</v>
      </c>
      <c r="AF37" s="70">
        <v>1.0891E-2</v>
      </c>
    </row>
    <row r="38" spans="2:32" x14ac:dyDescent="0.2">
      <c r="B38" s="69" t="s">
        <v>24</v>
      </c>
      <c r="C38" s="59">
        <v>20</v>
      </c>
      <c r="D38" s="59">
        <v>7143</v>
      </c>
      <c r="E38" s="70">
        <v>2.7989999999999998E-3</v>
      </c>
      <c r="F38" s="59">
        <v>26</v>
      </c>
      <c r="G38" s="59">
        <v>7132</v>
      </c>
      <c r="H38" s="70">
        <v>3.6449999999999998E-3</v>
      </c>
      <c r="I38" s="59">
        <v>29</v>
      </c>
      <c r="J38" s="59">
        <v>6712</v>
      </c>
      <c r="K38" s="70">
        <v>4.3200000000000001E-3</v>
      </c>
      <c r="L38" s="59">
        <v>45</v>
      </c>
      <c r="M38" s="59">
        <v>6550</v>
      </c>
      <c r="N38" s="70">
        <v>6.8700000000000002E-3</v>
      </c>
      <c r="O38" s="59">
        <v>47</v>
      </c>
      <c r="P38" s="59">
        <v>6305</v>
      </c>
      <c r="Q38" s="70">
        <v>7.4539999999999997E-3</v>
      </c>
      <c r="R38" s="59">
        <v>48</v>
      </c>
      <c r="S38" s="59">
        <v>6027</v>
      </c>
      <c r="T38" s="70">
        <v>7.9640000000000006E-3</v>
      </c>
      <c r="U38" s="59">
        <v>52</v>
      </c>
      <c r="V38" s="59">
        <v>5912</v>
      </c>
      <c r="W38" s="70">
        <v>8.7950000000000007E-3</v>
      </c>
      <c r="X38" s="59">
        <v>52</v>
      </c>
      <c r="Y38" s="59">
        <v>5585</v>
      </c>
      <c r="Z38" s="70">
        <v>9.3100000000000006E-3</v>
      </c>
      <c r="AA38" s="59">
        <v>34</v>
      </c>
      <c r="AB38" s="59">
        <v>5501</v>
      </c>
      <c r="AC38" s="70">
        <v>6.1799999999999997E-3</v>
      </c>
      <c r="AD38" s="59">
        <v>37</v>
      </c>
      <c r="AE38" s="59">
        <v>5286</v>
      </c>
      <c r="AF38" s="70">
        <v>6.999E-3</v>
      </c>
    </row>
    <row r="39" spans="2:32" x14ac:dyDescent="0.2">
      <c r="B39" s="69" t="s">
        <v>25</v>
      </c>
      <c r="C39" s="59">
        <v>72</v>
      </c>
      <c r="D39" s="59">
        <v>8026</v>
      </c>
      <c r="E39" s="70">
        <v>8.9700000000000005E-3</v>
      </c>
      <c r="F39" s="59">
        <v>61</v>
      </c>
      <c r="G39" s="59">
        <v>7961</v>
      </c>
      <c r="H39" s="70">
        <v>7.6620000000000004E-3</v>
      </c>
      <c r="I39" s="59">
        <v>68</v>
      </c>
      <c r="J39" s="59">
        <v>7860</v>
      </c>
      <c r="K39" s="70">
        <v>8.6510000000000007E-3</v>
      </c>
      <c r="L39" s="59">
        <v>64</v>
      </c>
      <c r="M39" s="59">
        <v>7595</v>
      </c>
      <c r="N39" s="70">
        <v>8.4259999999999995E-3</v>
      </c>
      <c r="O39" s="59">
        <v>89</v>
      </c>
      <c r="P39" s="59">
        <v>7587</v>
      </c>
      <c r="Q39" s="70">
        <v>1.1730000000000001E-2</v>
      </c>
      <c r="R39" s="59">
        <v>104</v>
      </c>
      <c r="S39" s="59">
        <v>7583</v>
      </c>
      <c r="T39" s="70">
        <v>1.3714E-2</v>
      </c>
      <c r="U39" s="59">
        <v>101</v>
      </c>
      <c r="V39" s="59">
        <v>7664</v>
      </c>
      <c r="W39" s="70">
        <v>1.3178E-2</v>
      </c>
      <c r="X39" s="59">
        <v>97</v>
      </c>
      <c r="Y39" s="59">
        <v>7638</v>
      </c>
      <c r="Z39" s="70">
        <v>1.2699E-2</v>
      </c>
      <c r="AA39" s="59">
        <v>88</v>
      </c>
      <c r="AB39" s="59">
        <v>7538</v>
      </c>
      <c r="AC39" s="70">
        <v>1.1674E-2</v>
      </c>
      <c r="AD39" s="59">
        <v>69</v>
      </c>
      <c r="AE39" s="59">
        <v>7468</v>
      </c>
      <c r="AF39" s="70">
        <v>9.2390000000000007E-3</v>
      </c>
    </row>
    <row r="40" spans="2:32" x14ac:dyDescent="0.2">
      <c r="B40" s="71" t="s">
        <v>26</v>
      </c>
      <c r="C40" s="62">
        <v>34</v>
      </c>
      <c r="D40" s="62">
        <v>12232</v>
      </c>
      <c r="E40" s="72">
        <v>2.7789999999999998E-3</v>
      </c>
      <c r="F40" s="62">
        <v>48</v>
      </c>
      <c r="G40" s="62">
        <v>12834</v>
      </c>
      <c r="H40" s="72">
        <v>3.7399999999999998E-3</v>
      </c>
      <c r="I40" s="62">
        <v>48</v>
      </c>
      <c r="J40" s="62">
        <v>13297</v>
      </c>
      <c r="K40" s="72">
        <v>3.6089999999999998E-3</v>
      </c>
      <c r="L40" s="62">
        <v>41</v>
      </c>
      <c r="M40" s="62">
        <v>13711</v>
      </c>
      <c r="N40" s="72">
        <v>2.99E-3</v>
      </c>
      <c r="O40" s="62">
        <v>41</v>
      </c>
      <c r="P40" s="62">
        <v>13844</v>
      </c>
      <c r="Q40" s="72">
        <v>2.9610000000000001E-3</v>
      </c>
      <c r="R40" s="62">
        <v>68</v>
      </c>
      <c r="S40" s="62">
        <v>14221</v>
      </c>
      <c r="T40" s="72">
        <v>4.7809999999999997E-3</v>
      </c>
      <c r="U40" s="62">
        <v>67</v>
      </c>
      <c r="V40" s="62">
        <v>14398</v>
      </c>
      <c r="W40" s="72">
        <v>4.653E-3</v>
      </c>
      <c r="X40" s="62">
        <v>63</v>
      </c>
      <c r="Y40" s="62">
        <v>14481</v>
      </c>
      <c r="Z40" s="72">
        <v>4.3499999999999997E-3</v>
      </c>
      <c r="AA40" s="62">
        <v>71</v>
      </c>
      <c r="AB40" s="62">
        <v>14592</v>
      </c>
      <c r="AC40" s="72">
        <v>4.8650000000000004E-3</v>
      </c>
      <c r="AD40" s="62">
        <v>58</v>
      </c>
      <c r="AE40" s="62">
        <v>14637</v>
      </c>
      <c r="AF40" s="72">
        <v>3.9620000000000002E-3</v>
      </c>
    </row>
    <row r="41" spans="2:32" x14ac:dyDescent="0.2">
      <c r="B41" s="20" t="s">
        <v>27</v>
      </c>
      <c r="C41" s="21">
        <f>SUBTOTAL(109,'% NRA Trend'!$C$27:$C$40)</f>
        <v>1020</v>
      </c>
      <c r="D41" s="21">
        <f>SUBTOTAL(109,'% NRA Trend'!$D$27:$D$40)</f>
        <v>102974</v>
      </c>
      <c r="E41" s="22">
        <f>'% NRA Trend'!$C$41 / '% NRA Trend'!$D$41</f>
        <v>9.9054130168780476E-3</v>
      </c>
      <c r="F41" s="21">
        <f>SUBTOTAL(109,'% NRA Trend'!$F$27:$F$40)</f>
        <v>1009</v>
      </c>
      <c r="G41" s="21">
        <f>SUBTOTAL(109,'% NRA Trend'!$G$27:$G$40)</f>
        <v>102900</v>
      </c>
      <c r="H41" s="22">
        <f>'% NRA Trend'!$F$41 / '% NRA Trend'!$G$41</f>
        <v>9.8056365403304171E-3</v>
      </c>
      <c r="I41" s="21">
        <f>SUBTOTAL(109,'% NRA Trend'!$I$27:$I$40)</f>
        <v>1161</v>
      </c>
      <c r="J41" s="21">
        <f>SUBTOTAL(109,'% NRA Trend'!$J$27:$J$40)</f>
        <v>100567</v>
      </c>
      <c r="K41" s="22">
        <f>'% NRA Trend'!$I$41 / '% NRA Trend'!$J$41</f>
        <v>1.1544542444340588E-2</v>
      </c>
      <c r="L41" s="21">
        <f>SUBTOTAL(109,'% NRA Trend'!$L$27:$L$40)</f>
        <v>1175</v>
      </c>
      <c r="M41" s="21">
        <f>SUBTOTAL(109,'% NRA Trend'!$M$27:$M$40)</f>
        <v>98593</v>
      </c>
      <c r="N41" s="22">
        <f>'% NRA Trend'!$L$41 / '% NRA Trend'!$M$41</f>
        <v>1.191768178268234E-2</v>
      </c>
      <c r="O41" s="21">
        <f>SUBTOTAL(109,'% NRA Trend'!$O$27:$O$40)</f>
        <v>1294</v>
      </c>
      <c r="P41" s="21">
        <f>SUBTOTAL(109,'% NRA Trend'!$P$27:$P$40)</f>
        <v>96006</v>
      </c>
      <c r="Q41" s="22">
        <f>'% NRA Trend'!$O$41 / '% NRA Trend'!$P$41</f>
        <v>1.3478324271399705E-2</v>
      </c>
      <c r="R41" s="21">
        <f>SUBTOTAL(109,'% NRA Trend'!$R$27:$R$40)</f>
        <v>1237</v>
      </c>
      <c r="S41" s="21">
        <f>SUBTOTAL(109,'% NRA Trend'!$S$27:$S$40)</f>
        <v>93091</v>
      </c>
      <c r="T41" s="22">
        <f>'% NRA Trend'!$R$41 / '% NRA Trend'!$S$41</f>
        <v>1.3288072960866249E-2</v>
      </c>
      <c r="U41" s="21">
        <f>SUBTOTAL(109,'% NRA Trend'!$U$27:$U$40)</f>
        <v>1046</v>
      </c>
      <c r="V41" s="21">
        <f>SUBTOTAL(109,'% NRA Trend'!$V$27:$V$40)</f>
        <v>90072</v>
      </c>
      <c r="W41" s="22">
        <f>'% NRA Trend'!$U$41 / '% NRA Trend'!$V$41</f>
        <v>1.1612931876720845E-2</v>
      </c>
      <c r="X41" s="21">
        <f>SUBTOTAL(109,'% NRA Trend'!$X$27:$X$40)</f>
        <v>997</v>
      </c>
      <c r="Y41" s="21">
        <f>SUBTOTAL(109,'% NRA Trend'!$Y$27:$Y$40)</f>
        <v>87242</v>
      </c>
      <c r="Z41" s="22">
        <f>'% NRA Trend'!$X$41 / '% NRA Trend'!$Y$41</f>
        <v>1.142798193530639E-2</v>
      </c>
      <c r="AA41" s="21">
        <f>SUBTOTAL(109,'% NRA Trend'!$AA$27:$AA$40)</f>
        <v>916</v>
      </c>
      <c r="AB41" s="21">
        <f>SUBTOTAL(109,'% NRA Trend'!$AB$27:$AB$40)</f>
        <v>83074</v>
      </c>
      <c r="AC41" s="22">
        <f>'% NRA Trend'!$AA$41 / '% NRA Trend'!$AB$41</f>
        <v>1.1026313888822014E-2</v>
      </c>
      <c r="AD41" s="21">
        <f>SUBTOTAL(109,'% NRA Trend'!$AD$27:$AD$40)</f>
        <v>757</v>
      </c>
      <c r="AE41" s="21">
        <f>SUBTOTAL(109,'% NRA Trend'!$AE$27:$AE$40)</f>
        <v>80426</v>
      </c>
      <c r="AF41" s="22">
        <f>'% NRA Trend'!$AD$41 / '% NRA Trend'!$AE$41</f>
        <v>9.4123790813915899E-3</v>
      </c>
    </row>
    <row r="44" spans="2:32" ht="15" x14ac:dyDescent="0.2">
      <c r="B44" s="131" t="s">
        <v>121</v>
      </c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</row>
    <row r="45" spans="2:32" x14ac:dyDescent="0.2">
      <c r="B45" s="134" t="s">
        <v>1</v>
      </c>
      <c r="C45" s="133" t="str">
        <f>CONCATENATE(IF(RIGHT(Parameters!B1,1) = "1","Fall ", "Spring "),IF(RIGHT(Parameters!B1,1) = "1",LEFT(Parameters!B1,4) -9, LEFT(Parameters!B1,4) - 8))</f>
        <v>Fall 2010</v>
      </c>
      <c r="D45" s="133"/>
      <c r="E45" s="133"/>
      <c r="F45" s="133" t="str">
        <f>CONCATENATE(IF(RIGHT(Parameters!B1,1) = "1","Fall ", "Spring "),IF(RIGHT(Parameters!B1,1) = "1",LEFT(Parameters!B1,4) -8, LEFT(Parameters!B1,4) - 7))</f>
        <v>Fall 2011</v>
      </c>
      <c r="G45" s="133"/>
      <c r="H45" s="133"/>
      <c r="I45" s="133" t="str">
        <f>CONCATENATE(IF(RIGHT(Parameters!B1,1) = "1","Fall ", "Spring "),IF(RIGHT(Parameters!B1,1) = "1",LEFT(Parameters!B1,4) -7, LEFT(Parameters!B1,4) - 6))</f>
        <v>Fall 2012</v>
      </c>
      <c r="J45" s="133"/>
      <c r="K45" s="133"/>
      <c r="L45" s="133" t="str">
        <f>CONCATENATE(IF(RIGHT(Parameters!B1,1) = "1","Fall ", "Spring "),IF(RIGHT(Parameters!B1,1) = "1",LEFT(Parameters!B1,4) -6, LEFT(Parameters!B1,4) - 5))</f>
        <v>Fall 2013</v>
      </c>
      <c r="M45" s="133"/>
      <c r="N45" s="133"/>
      <c r="O45" s="133" t="str">
        <f>CONCATENATE(IF(RIGHT(Parameters!B1,1) = "1","Fall ", "Spring "),IF(RIGHT(Parameters!B1,1) = "1",LEFT(Parameters!B1,4) -5, LEFT(Parameters!B1,4) - 4))</f>
        <v>Fall 2014</v>
      </c>
      <c r="P45" s="133"/>
      <c r="Q45" s="133"/>
      <c r="R45" s="133" t="str">
        <f>CONCATENATE(IF(RIGHT(Parameters!B1,1) = "1","Fall ", "Spring "),IF(RIGHT(Parameters!B1,1) = "1",LEFT(Parameters!B1,4) -4, LEFT(Parameters!B1,4) - 3))</f>
        <v>Fall 2015</v>
      </c>
      <c r="S45" s="133"/>
      <c r="T45" s="133"/>
      <c r="U45" s="133" t="str">
        <f>CONCATENATE(IF(RIGHT(Parameters!B1,1) = "1","Fall ", "Spring "),IF(RIGHT(Parameters!B1,1) = "1",LEFT(Parameters!B1,4) -3, LEFT(Parameters!B1,4) -2 ))</f>
        <v>Fall 2016</v>
      </c>
      <c r="V45" s="133"/>
      <c r="W45" s="133"/>
      <c r="X45" s="133" t="str">
        <f>CONCATENATE(IF(RIGHT(Parameters!B1,1) = "1","Fall ", "Spring "),IF(RIGHT(Parameters!B1,1) = "1",LEFT(Parameters!B1,4) -2, LEFT(Parameters!B1,4) -1 ))</f>
        <v>Fall 2017</v>
      </c>
      <c r="Y45" s="133"/>
      <c r="Z45" s="133"/>
      <c r="AA45" s="133" t="str">
        <f>CONCATENATE(IF(RIGHT(Parameters!B1,1) = "1","Fall ", "Spring "),IF(RIGHT(Parameters!B1,1) = "1",LEFT(Parameters!B1,4) -1, LEFT(Parameters!B1,4)  ))</f>
        <v>Fall 2018</v>
      </c>
      <c r="AB45" s="133"/>
      <c r="AC45" s="133"/>
      <c r="AD45" s="133" t="str">
        <f>CONCATENATE(IF(RIGHT(Parameters!B1,1) = "1","Fall ", "Spring "),IF(RIGHT(Parameters!B1,1) = "1",LEFT(Parameters!B1,4), LEFT(Parameters!B1,4) + 1))</f>
        <v>Fall 2019</v>
      </c>
      <c r="AE45" s="133"/>
      <c r="AF45" s="133"/>
    </row>
    <row r="46" spans="2:32" ht="42.75" x14ac:dyDescent="0.2">
      <c r="B46" s="135"/>
      <c r="C46" s="54" t="s">
        <v>118</v>
      </c>
      <c r="D46" s="54" t="s">
        <v>82</v>
      </c>
      <c r="E46" s="54" t="s">
        <v>119</v>
      </c>
      <c r="F46" s="54" t="s">
        <v>118</v>
      </c>
      <c r="G46" s="54" t="s">
        <v>82</v>
      </c>
      <c r="H46" s="54" t="s">
        <v>119</v>
      </c>
      <c r="I46" s="54" t="s">
        <v>118</v>
      </c>
      <c r="J46" s="54" t="s">
        <v>82</v>
      </c>
      <c r="K46" s="54" t="s">
        <v>119</v>
      </c>
      <c r="L46" s="54" t="s">
        <v>118</v>
      </c>
      <c r="M46" s="54" t="s">
        <v>82</v>
      </c>
      <c r="N46" s="54" t="s">
        <v>119</v>
      </c>
      <c r="O46" s="54" t="s">
        <v>118</v>
      </c>
      <c r="P46" s="54" t="s">
        <v>82</v>
      </c>
      <c r="Q46" s="54" t="s">
        <v>119</v>
      </c>
      <c r="R46" s="54" t="s">
        <v>118</v>
      </c>
      <c r="S46" s="54" t="s">
        <v>82</v>
      </c>
      <c r="T46" s="54" t="s">
        <v>119</v>
      </c>
      <c r="U46" s="54" t="s">
        <v>118</v>
      </c>
      <c r="V46" s="54" t="s">
        <v>82</v>
      </c>
      <c r="W46" s="54" t="s">
        <v>119</v>
      </c>
      <c r="X46" s="54" t="s">
        <v>118</v>
      </c>
      <c r="Y46" s="54" t="s">
        <v>82</v>
      </c>
      <c r="Z46" s="54" t="s">
        <v>119</v>
      </c>
      <c r="AA46" s="54" t="s">
        <v>118</v>
      </c>
      <c r="AB46" s="54" t="s">
        <v>82</v>
      </c>
      <c r="AC46" s="54" t="s">
        <v>119</v>
      </c>
      <c r="AD46" s="54" t="s">
        <v>118</v>
      </c>
      <c r="AE46" s="54" t="s">
        <v>82</v>
      </c>
      <c r="AF46" s="54" t="s">
        <v>119</v>
      </c>
    </row>
    <row r="47" spans="2:32" ht="17.25" hidden="1" customHeight="1" thickBot="1" x14ac:dyDescent="0.25">
      <c r="B47" s="26" t="s">
        <v>2</v>
      </c>
      <c r="C47" s="26" t="s">
        <v>84</v>
      </c>
      <c r="D47" s="26" t="s">
        <v>85</v>
      </c>
      <c r="E47" s="26" t="s">
        <v>86</v>
      </c>
      <c r="F47" s="26" t="s">
        <v>87</v>
      </c>
      <c r="G47" s="26" t="s">
        <v>88</v>
      </c>
      <c r="H47" s="26" t="s">
        <v>89</v>
      </c>
      <c r="I47" s="26" t="s">
        <v>90</v>
      </c>
      <c r="J47" s="26" t="s">
        <v>91</v>
      </c>
      <c r="K47" s="26" t="s">
        <v>92</v>
      </c>
      <c r="L47" s="26" t="s">
        <v>93</v>
      </c>
      <c r="M47" s="26" t="s">
        <v>94</v>
      </c>
      <c r="N47" s="26" t="s">
        <v>95</v>
      </c>
      <c r="O47" s="26" t="s">
        <v>96</v>
      </c>
      <c r="P47" s="26" t="s">
        <v>97</v>
      </c>
      <c r="Q47" s="26" t="s">
        <v>98</v>
      </c>
      <c r="R47" s="26" t="s">
        <v>99</v>
      </c>
      <c r="S47" s="26" t="s">
        <v>100</v>
      </c>
      <c r="T47" s="26" t="s">
        <v>101</v>
      </c>
      <c r="U47" s="26" t="s">
        <v>102</v>
      </c>
      <c r="V47" s="26" t="s">
        <v>103</v>
      </c>
      <c r="W47" s="26" t="s">
        <v>104</v>
      </c>
      <c r="X47" s="26" t="s">
        <v>105</v>
      </c>
      <c r="Y47" s="26" t="s">
        <v>106</v>
      </c>
      <c r="Z47" s="26" t="s">
        <v>107</v>
      </c>
      <c r="AA47" s="26" t="s">
        <v>108</v>
      </c>
      <c r="AB47" s="26" t="s">
        <v>109</v>
      </c>
      <c r="AC47" s="26" t="s">
        <v>110</v>
      </c>
      <c r="AD47" s="26" t="s">
        <v>111</v>
      </c>
      <c r="AE47" s="26" t="s">
        <v>112</v>
      </c>
      <c r="AF47" s="26" t="s">
        <v>113</v>
      </c>
    </row>
    <row r="48" spans="2:32" x14ac:dyDescent="0.2">
      <c r="B48" s="67" t="s">
        <v>13</v>
      </c>
      <c r="C48" s="57">
        <v>31</v>
      </c>
      <c r="D48" s="57">
        <v>955</v>
      </c>
      <c r="E48" s="68">
        <v>3.2460000000000003E-2</v>
      </c>
      <c r="F48" s="57">
        <v>24</v>
      </c>
      <c r="G48" s="57">
        <v>903</v>
      </c>
      <c r="H48" s="68">
        <v>2.6578000000000001E-2</v>
      </c>
      <c r="I48" s="57">
        <v>24</v>
      </c>
      <c r="J48" s="57">
        <v>747</v>
      </c>
      <c r="K48" s="68">
        <v>3.2127999999999997E-2</v>
      </c>
      <c r="L48" s="57">
        <v>22</v>
      </c>
      <c r="M48" s="57">
        <v>711</v>
      </c>
      <c r="N48" s="68">
        <v>3.0942000000000001E-2</v>
      </c>
      <c r="O48" s="57">
        <v>11</v>
      </c>
      <c r="P48" s="57">
        <v>679</v>
      </c>
      <c r="Q48" s="68">
        <v>1.6199999999999999E-2</v>
      </c>
      <c r="R48" s="57">
        <v>8</v>
      </c>
      <c r="S48" s="57">
        <v>619</v>
      </c>
      <c r="T48" s="68">
        <v>1.2924E-2</v>
      </c>
      <c r="U48" s="57">
        <v>6</v>
      </c>
      <c r="V48" s="57">
        <v>663</v>
      </c>
      <c r="W48" s="68">
        <v>9.0489999999999998E-3</v>
      </c>
      <c r="X48" s="57">
        <v>5</v>
      </c>
      <c r="Y48" s="57">
        <v>681</v>
      </c>
      <c r="Z48" s="68">
        <v>7.3419999999999996E-3</v>
      </c>
      <c r="AA48" s="57">
        <v>4</v>
      </c>
      <c r="AB48" s="57">
        <v>671</v>
      </c>
      <c r="AC48" s="68">
        <v>5.9610000000000002E-3</v>
      </c>
      <c r="AD48" s="57">
        <v>7</v>
      </c>
      <c r="AE48" s="57">
        <v>697</v>
      </c>
      <c r="AF48" s="68">
        <v>1.0043E-2</v>
      </c>
    </row>
    <row r="49" spans="2:32" x14ac:dyDescent="0.2">
      <c r="B49" s="69" t="s">
        <v>14</v>
      </c>
      <c r="C49" s="59">
        <v>29</v>
      </c>
      <c r="D49" s="59">
        <v>1981</v>
      </c>
      <c r="E49" s="70">
        <v>1.4638999999999999E-2</v>
      </c>
      <c r="F49" s="59">
        <v>16</v>
      </c>
      <c r="G49" s="59">
        <v>2066</v>
      </c>
      <c r="H49" s="70">
        <v>7.744E-3</v>
      </c>
      <c r="I49" s="59">
        <v>12</v>
      </c>
      <c r="J49" s="59">
        <v>1927</v>
      </c>
      <c r="K49" s="70">
        <v>6.2269999999999999E-3</v>
      </c>
      <c r="L49" s="59">
        <v>16</v>
      </c>
      <c r="M49" s="59">
        <v>1793</v>
      </c>
      <c r="N49" s="70">
        <v>8.9230000000000004E-3</v>
      </c>
      <c r="O49" s="59">
        <v>18</v>
      </c>
      <c r="P49" s="59">
        <v>1902</v>
      </c>
      <c r="Q49" s="70">
        <v>9.4629999999999992E-3</v>
      </c>
      <c r="R49" s="59">
        <v>29</v>
      </c>
      <c r="S49" s="59">
        <v>2069</v>
      </c>
      <c r="T49" s="70">
        <v>1.4016000000000001E-2</v>
      </c>
      <c r="U49" s="59">
        <v>35</v>
      </c>
      <c r="V49" s="59">
        <v>2031</v>
      </c>
      <c r="W49" s="70">
        <v>1.7232000000000001E-2</v>
      </c>
      <c r="X49" s="59">
        <v>22</v>
      </c>
      <c r="Y49" s="59">
        <v>2231</v>
      </c>
      <c r="Z49" s="70">
        <v>9.861E-3</v>
      </c>
      <c r="AA49" s="59">
        <v>12</v>
      </c>
      <c r="AB49" s="59">
        <v>2138</v>
      </c>
      <c r="AC49" s="70">
        <v>5.6119999999999998E-3</v>
      </c>
      <c r="AD49" s="59">
        <v>6</v>
      </c>
      <c r="AE49" s="59">
        <v>1986</v>
      </c>
      <c r="AF49" s="70">
        <v>3.0209999999999998E-3</v>
      </c>
    </row>
    <row r="50" spans="2:32" x14ac:dyDescent="0.2">
      <c r="B50" s="69" t="s">
        <v>15</v>
      </c>
      <c r="C50" s="59">
        <v>0</v>
      </c>
      <c r="D50" s="59">
        <v>78</v>
      </c>
      <c r="E50" s="70">
        <v>0</v>
      </c>
      <c r="F50" s="59">
        <v>2</v>
      </c>
      <c r="G50" s="59">
        <v>59</v>
      </c>
      <c r="H50" s="70">
        <v>3.3897999999999998E-2</v>
      </c>
      <c r="I50" s="59">
        <v>2</v>
      </c>
      <c r="J50" s="59">
        <v>60</v>
      </c>
      <c r="K50" s="70">
        <v>3.3333000000000002E-2</v>
      </c>
      <c r="L50" s="59">
        <v>0</v>
      </c>
      <c r="M50" s="59">
        <v>33</v>
      </c>
      <c r="N50" s="70">
        <v>0</v>
      </c>
      <c r="O50" s="59">
        <v>0</v>
      </c>
      <c r="P50" s="59">
        <v>25</v>
      </c>
      <c r="Q50" s="70">
        <v>0</v>
      </c>
      <c r="R50" s="59">
        <v>1</v>
      </c>
      <c r="S50" s="59">
        <v>25</v>
      </c>
      <c r="T50" s="70">
        <v>3.9999E-2</v>
      </c>
      <c r="U50" s="59">
        <v>1</v>
      </c>
      <c r="V50" s="59">
        <v>37</v>
      </c>
      <c r="W50" s="70">
        <v>2.7026999999999999E-2</v>
      </c>
      <c r="X50" s="59">
        <v>0</v>
      </c>
      <c r="Y50" s="59">
        <v>32</v>
      </c>
      <c r="Z50" s="70">
        <v>0</v>
      </c>
      <c r="AA50" s="59">
        <v>0</v>
      </c>
      <c r="AB50" s="59">
        <v>0</v>
      </c>
      <c r="AC50" s="70">
        <v>0</v>
      </c>
      <c r="AD50" s="59">
        <v>0</v>
      </c>
      <c r="AE50" s="59">
        <v>0</v>
      </c>
      <c r="AF50" s="70">
        <v>0</v>
      </c>
    </row>
    <row r="51" spans="2:32" x14ac:dyDescent="0.2">
      <c r="B51" s="69" t="s">
        <v>16</v>
      </c>
      <c r="C51" s="59">
        <v>16</v>
      </c>
      <c r="D51" s="59">
        <v>1090</v>
      </c>
      <c r="E51" s="70">
        <v>1.4678E-2</v>
      </c>
      <c r="F51" s="59">
        <v>16</v>
      </c>
      <c r="G51" s="59">
        <v>1115</v>
      </c>
      <c r="H51" s="70">
        <v>1.4349000000000001E-2</v>
      </c>
      <c r="I51" s="59">
        <v>14</v>
      </c>
      <c r="J51" s="59">
        <v>1002</v>
      </c>
      <c r="K51" s="70">
        <v>1.3972E-2</v>
      </c>
      <c r="L51" s="59">
        <v>10</v>
      </c>
      <c r="M51" s="59">
        <v>881</v>
      </c>
      <c r="N51" s="70">
        <v>1.1350000000000001E-2</v>
      </c>
      <c r="O51" s="59">
        <v>2</v>
      </c>
      <c r="P51" s="59">
        <v>806</v>
      </c>
      <c r="Q51" s="70">
        <v>2.4810000000000001E-3</v>
      </c>
      <c r="R51" s="59">
        <v>5</v>
      </c>
      <c r="S51" s="59">
        <v>813</v>
      </c>
      <c r="T51" s="70">
        <v>6.1500000000000001E-3</v>
      </c>
      <c r="U51" s="59">
        <v>6</v>
      </c>
      <c r="V51" s="59">
        <v>894</v>
      </c>
      <c r="W51" s="70">
        <v>6.711E-3</v>
      </c>
      <c r="X51" s="59">
        <v>4</v>
      </c>
      <c r="Y51" s="59">
        <v>904</v>
      </c>
      <c r="Z51" s="70">
        <v>4.424E-3</v>
      </c>
      <c r="AA51" s="59">
        <v>4</v>
      </c>
      <c r="AB51" s="59">
        <v>927</v>
      </c>
      <c r="AC51" s="70">
        <v>4.3140000000000001E-3</v>
      </c>
      <c r="AD51" s="59">
        <v>2</v>
      </c>
      <c r="AE51" s="59">
        <v>927</v>
      </c>
      <c r="AF51" s="70">
        <v>2.1570000000000001E-3</v>
      </c>
    </row>
    <row r="52" spans="2:32" x14ac:dyDescent="0.2">
      <c r="B52" s="69" t="s">
        <v>17</v>
      </c>
      <c r="C52" s="59">
        <v>13</v>
      </c>
      <c r="D52" s="59">
        <v>1015</v>
      </c>
      <c r="E52" s="70">
        <v>1.2807000000000001E-2</v>
      </c>
      <c r="F52" s="59">
        <v>11</v>
      </c>
      <c r="G52" s="59">
        <v>697</v>
      </c>
      <c r="H52" s="70">
        <v>1.5781E-2</v>
      </c>
      <c r="I52" s="59">
        <v>16</v>
      </c>
      <c r="J52" s="59">
        <v>588</v>
      </c>
      <c r="K52" s="70">
        <v>2.7210000000000002E-2</v>
      </c>
      <c r="L52" s="59">
        <v>31</v>
      </c>
      <c r="M52" s="59">
        <v>592</v>
      </c>
      <c r="N52" s="70">
        <v>5.2364000000000001E-2</v>
      </c>
      <c r="O52" s="59">
        <v>37</v>
      </c>
      <c r="P52" s="59">
        <v>616</v>
      </c>
      <c r="Q52" s="70">
        <v>6.0063999999999999E-2</v>
      </c>
      <c r="R52" s="59">
        <v>42</v>
      </c>
      <c r="S52" s="59">
        <v>661</v>
      </c>
      <c r="T52" s="70">
        <v>6.3539999999999999E-2</v>
      </c>
      <c r="U52" s="59">
        <v>27</v>
      </c>
      <c r="V52" s="59">
        <v>671</v>
      </c>
      <c r="W52" s="70">
        <v>4.0238000000000003E-2</v>
      </c>
      <c r="X52" s="59">
        <v>33</v>
      </c>
      <c r="Y52" s="59">
        <v>691</v>
      </c>
      <c r="Z52" s="70">
        <v>4.7756E-2</v>
      </c>
      <c r="AA52" s="59">
        <v>27</v>
      </c>
      <c r="AB52" s="59">
        <v>712</v>
      </c>
      <c r="AC52" s="70">
        <v>3.7921000000000003E-2</v>
      </c>
      <c r="AD52" s="59">
        <v>29</v>
      </c>
      <c r="AE52" s="59">
        <v>797</v>
      </c>
      <c r="AF52" s="70">
        <v>3.6386000000000002E-2</v>
      </c>
    </row>
    <row r="53" spans="2:32" x14ac:dyDescent="0.2">
      <c r="B53" s="69" t="s">
        <v>18</v>
      </c>
      <c r="C53" s="59">
        <v>9</v>
      </c>
      <c r="D53" s="59">
        <v>1945</v>
      </c>
      <c r="E53" s="70">
        <v>4.627E-3</v>
      </c>
      <c r="F53" s="59">
        <v>8</v>
      </c>
      <c r="G53" s="59">
        <v>1613</v>
      </c>
      <c r="H53" s="70">
        <v>4.9589999999999999E-3</v>
      </c>
      <c r="I53" s="59">
        <v>5</v>
      </c>
      <c r="J53" s="59">
        <v>1372</v>
      </c>
      <c r="K53" s="70">
        <v>3.6440000000000001E-3</v>
      </c>
      <c r="L53" s="59">
        <v>8</v>
      </c>
      <c r="M53" s="59">
        <v>1234</v>
      </c>
      <c r="N53" s="70">
        <v>6.4819999999999999E-3</v>
      </c>
      <c r="O53" s="59">
        <v>7</v>
      </c>
      <c r="P53" s="59">
        <v>1242</v>
      </c>
      <c r="Q53" s="70">
        <v>5.6360000000000004E-3</v>
      </c>
      <c r="R53" s="59">
        <v>9</v>
      </c>
      <c r="S53" s="59">
        <v>1303</v>
      </c>
      <c r="T53" s="70">
        <v>6.9069999999999999E-3</v>
      </c>
      <c r="U53" s="59">
        <v>6</v>
      </c>
      <c r="V53" s="59">
        <v>1341</v>
      </c>
      <c r="W53" s="70">
        <v>4.4739999999999997E-3</v>
      </c>
      <c r="X53" s="59">
        <v>6</v>
      </c>
      <c r="Y53" s="59">
        <v>1284</v>
      </c>
      <c r="Z53" s="70">
        <v>4.6719999999999999E-3</v>
      </c>
      <c r="AA53" s="59">
        <v>12</v>
      </c>
      <c r="AB53" s="59">
        <v>1262</v>
      </c>
      <c r="AC53" s="70">
        <v>9.5080000000000008E-3</v>
      </c>
      <c r="AD53" s="59">
        <v>9</v>
      </c>
      <c r="AE53" s="59">
        <v>1247</v>
      </c>
      <c r="AF53" s="70">
        <v>7.2170000000000003E-3</v>
      </c>
    </row>
    <row r="54" spans="2:32" x14ac:dyDescent="0.2">
      <c r="B54" s="69" t="s">
        <v>19</v>
      </c>
      <c r="C54" s="59">
        <v>327</v>
      </c>
      <c r="D54" s="59">
        <v>2299</v>
      </c>
      <c r="E54" s="70">
        <v>0.142235</v>
      </c>
      <c r="F54" s="59">
        <v>292</v>
      </c>
      <c r="G54" s="59">
        <v>2189</v>
      </c>
      <c r="H54" s="70">
        <v>0.13339400000000001</v>
      </c>
      <c r="I54" s="59">
        <v>324</v>
      </c>
      <c r="J54" s="59">
        <v>2321</v>
      </c>
      <c r="K54" s="70">
        <v>0.139595</v>
      </c>
      <c r="L54" s="59">
        <v>415</v>
      </c>
      <c r="M54" s="59">
        <v>2257</v>
      </c>
      <c r="N54" s="70">
        <v>0.18387200000000001</v>
      </c>
      <c r="O54" s="59">
        <v>392</v>
      </c>
      <c r="P54" s="59">
        <v>2239</v>
      </c>
      <c r="Q54" s="70">
        <v>0.17507800000000001</v>
      </c>
      <c r="R54" s="59">
        <v>483</v>
      </c>
      <c r="S54" s="59">
        <v>2238</v>
      </c>
      <c r="T54" s="70">
        <v>0.21581700000000001</v>
      </c>
      <c r="U54" s="59">
        <v>489</v>
      </c>
      <c r="V54" s="59">
        <v>2235</v>
      </c>
      <c r="W54" s="70">
        <v>0.21879100000000001</v>
      </c>
      <c r="X54" s="59">
        <v>428</v>
      </c>
      <c r="Y54" s="59">
        <v>2173</v>
      </c>
      <c r="Z54" s="70">
        <v>0.196962</v>
      </c>
      <c r="AA54" s="59">
        <v>361</v>
      </c>
      <c r="AB54" s="59">
        <v>2110</v>
      </c>
      <c r="AC54" s="70">
        <v>0.17108999999999999</v>
      </c>
      <c r="AD54" s="59">
        <v>353</v>
      </c>
      <c r="AE54" s="59">
        <v>2069</v>
      </c>
      <c r="AF54" s="70">
        <v>0.17061299999999999</v>
      </c>
    </row>
    <row r="55" spans="2:32" x14ac:dyDescent="0.2">
      <c r="B55" s="69" t="s">
        <v>20</v>
      </c>
      <c r="C55" s="59">
        <v>23</v>
      </c>
      <c r="D55" s="59">
        <v>982</v>
      </c>
      <c r="E55" s="70">
        <v>2.3421000000000001E-2</v>
      </c>
      <c r="F55" s="59">
        <v>15</v>
      </c>
      <c r="G55" s="59">
        <v>797</v>
      </c>
      <c r="H55" s="70">
        <v>1.882E-2</v>
      </c>
      <c r="I55" s="59">
        <v>9</v>
      </c>
      <c r="J55" s="59">
        <v>669</v>
      </c>
      <c r="K55" s="70">
        <v>1.3452E-2</v>
      </c>
      <c r="L55" s="59">
        <v>14</v>
      </c>
      <c r="M55" s="59">
        <v>698</v>
      </c>
      <c r="N55" s="70">
        <v>2.0056999999999998E-2</v>
      </c>
      <c r="O55" s="59">
        <v>14</v>
      </c>
      <c r="P55" s="59">
        <v>656</v>
      </c>
      <c r="Q55" s="70">
        <v>2.1340999999999999E-2</v>
      </c>
      <c r="R55" s="59">
        <v>11</v>
      </c>
      <c r="S55" s="59">
        <v>707</v>
      </c>
      <c r="T55" s="70">
        <v>1.5558000000000001E-2</v>
      </c>
      <c r="U55" s="59">
        <v>12</v>
      </c>
      <c r="V55" s="59">
        <v>795</v>
      </c>
      <c r="W55" s="70">
        <v>1.5094E-2</v>
      </c>
      <c r="X55" s="59">
        <v>13</v>
      </c>
      <c r="Y55" s="59">
        <v>840</v>
      </c>
      <c r="Z55" s="70">
        <v>1.5476E-2</v>
      </c>
      <c r="AA55" s="59">
        <v>9</v>
      </c>
      <c r="AB55" s="59">
        <v>918</v>
      </c>
      <c r="AC55" s="70">
        <v>9.8029999999999992E-3</v>
      </c>
      <c r="AD55" s="59">
        <v>10</v>
      </c>
      <c r="AE55" s="59">
        <v>995</v>
      </c>
      <c r="AF55" s="70">
        <v>1.005E-2</v>
      </c>
    </row>
    <row r="56" spans="2:32" x14ac:dyDescent="0.2">
      <c r="B56" s="69" t="s">
        <v>21</v>
      </c>
      <c r="C56" s="59">
        <v>3</v>
      </c>
      <c r="D56" s="59">
        <v>336</v>
      </c>
      <c r="E56" s="70">
        <v>8.9280000000000002E-3</v>
      </c>
      <c r="F56" s="59">
        <v>0</v>
      </c>
      <c r="G56" s="59">
        <v>337</v>
      </c>
      <c r="H56" s="70">
        <v>0</v>
      </c>
      <c r="I56" s="59">
        <v>0</v>
      </c>
      <c r="J56" s="59">
        <v>359</v>
      </c>
      <c r="K56" s="70">
        <v>0</v>
      </c>
      <c r="L56" s="59">
        <v>1</v>
      </c>
      <c r="M56" s="59">
        <v>405</v>
      </c>
      <c r="N56" s="70">
        <v>2.4689999999999998E-3</v>
      </c>
      <c r="O56" s="59">
        <v>0</v>
      </c>
      <c r="P56" s="59">
        <v>396</v>
      </c>
      <c r="Q56" s="70">
        <v>0</v>
      </c>
      <c r="R56" s="59">
        <v>0</v>
      </c>
      <c r="S56" s="59">
        <v>387</v>
      </c>
      <c r="T56" s="70">
        <v>0</v>
      </c>
      <c r="U56" s="59">
        <v>0</v>
      </c>
      <c r="V56" s="59">
        <v>375</v>
      </c>
      <c r="W56" s="70">
        <v>0</v>
      </c>
      <c r="X56" s="59">
        <v>0</v>
      </c>
      <c r="Y56" s="59">
        <v>355</v>
      </c>
      <c r="Z56" s="70">
        <v>0</v>
      </c>
      <c r="AA56" s="59">
        <v>0</v>
      </c>
      <c r="AB56" s="59">
        <v>358</v>
      </c>
      <c r="AC56" s="70">
        <v>0</v>
      </c>
      <c r="AD56" s="59">
        <v>0</v>
      </c>
      <c r="AE56" s="59">
        <v>410</v>
      </c>
      <c r="AF56" s="70">
        <v>0</v>
      </c>
    </row>
    <row r="57" spans="2:32" x14ac:dyDescent="0.2">
      <c r="B57" s="69" t="s">
        <v>22</v>
      </c>
      <c r="C57" s="59">
        <v>4</v>
      </c>
      <c r="D57" s="59">
        <v>466</v>
      </c>
      <c r="E57" s="70">
        <v>8.5830000000000004E-3</v>
      </c>
      <c r="F57" s="59">
        <v>1</v>
      </c>
      <c r="G57" s="59">
        <v>399</v>
      </c>
      <c r="H57" s="70">
        <v>2.506E-3</v>
      </c>
      <c r="I57" s="59">
        <v>1</v>
      </c>
      <c r="J57" s="59">
        <v>307</v>
      </c>
      <c r="K57" s="70">
        <v>3.2569999999999999E-3</v>
      </c>
      <c r="L57" s="59">
        <v>3</v>
      </c>
      <c r="M57" s="59">
        <v>253</v>
      </c>
      <c r="N57" s="70">
        <v>1.1856999999999999E-2</v>
      </c>
      <c r="O57" s="59">
        <v>1</v>
      </c>
      <c r="P57" s="59">
        <v>165</v>
      </c>
      <c r="Q57" s="70">
        <v>6.0600000000000003E-3</v>
      </c>
      <c r="R57" s="59">
        <v>0</v>
      </c>
      <c r="S57" s="59">
        <v>121</v>
      </c>
      <c r="T57" s="70">
        <v>0</v>
      </c>
      <c r="U57" s="59">
        <v>0</v>
      </c>
      <c r="V57" s="59">
        <v>86</v>
      </c>
      <c r="W57" s="70">
        <v>0</v>
      </c>
      <c r="X57" s="59">
        <v>0</v>
      </c>
      <c r="Y57" s="59">
        <v>61</v>
      </c>
      <c r="Z57" s="70">
        <v>0</v>
      </c>
      <c r="AA57" s="59">
        <v>0</v>
      </c>
      <c r="AB57" s="59">
        <v>38</v>
      </c>
      <c r="AC57" s="70">
        <v>0</v>
      </c>
      <c r="AD57" s="59">
        <v>0</v>
      </c>
      <c r="AE57" s="59">
        <v>23</v>
      </c>
      <c r="AF57" s="70">
        <v>0</v>
      </c>
    </row>
    <row r="58" spans="2:32" x14ac:dyDescent="0.2">
      <c r="B58" s="69" t="s">
        <v>23</v>
      </c>
      <c r="C58" s="59">
        <v>6</v>
      </c>
      <c r="D58" s="59">
        <v>1125</v>
      </c>
      <c r="E58" s="70">
        <v>5.3330000000000001E-3</v>
      </c>
      <c r="F58" s="59">
        <v>3</v>
      </c>
      <c r="G58" s="59">
        <v>1081</v>
      </c>
      <c r="H58" s="70">
        <v>2.7750000000000001E-3</v>
      </c>
      <c r="I58" s="59">
        <v>6</v>
      </c>
      <c r="J58" s="59">
        <v>944</v>
      </c>
      <c r="K58" s="70">
        <v>6.3550000000000004E-3</v>
      </c>
      <c r="L58" s="59">
        <v>4</v>
      </c>
      <c r="M58" s="59">
        <v>891</v>
      </c>
      <c r="N58" s="70">
        <v>4.4889999999999999E-3</v>
      </c>
      <c r="O58" s="59">
        <v>6</v>
      </c>
      <c r="P58" s="59">
        <v>876</v>
      </c>
      <c r="Q58" s="70">
        <v>6.8490000000000001E-3</v>
      </c>
      <c r="R58" s="59">
        <v>7</v>
      </c>
      <c r="S58" s="59">
        <v>904</v>
      </c>
      <c r="T58" s="70">
        <v>7.7429999999999999E-3</v>
      </c>
      <c r="U58" s="59">
        <v>7</v>
      </c>
      <c r="V58" s="59">
        <v>947</v>
      </c>
      <c r="W58" s="70">
        <v>7.391E-3</v>
      </c>
      <c r="X58" s="59">
        <v>13</v>
      </c>
      <c r="Y58" s="59">
        <v>970</v>
      </c>
      <c r="Z58" s="70">
        <v>1.3402000000000001E-2</v>
      </c>
      <c r="AA58" s="59">
        <v>6</v>
      </c>
      <c r="AB58" s="59">
        <v>1002</v>
      </c>
      <c r="AC58" s="70">
        <v>5.9880000000000003E-3</v>
      </c>
      <c r="AD58" s="59">
        <v>4</v>
      </c>
      <c r="AE58" s="59">
        <v>1023</v>
      </c>
      <c r="AF58" s="70">
        <v>3.9100000000000003E-3</v>
      </c>
    </row>
    <row r="59" spans="2:32" x14ac:dyDescent="0.2">
      <c r="B59" s="69" t="s">
        <v>24</v>
      </c>
      <c r="C59" s="59">
        <v>18</v>
      </c>
      <c r="D59" s="59">
        <v>1183</v>
      </c>
      <c r="E59" s="70">
        <v>1.5214999999999999E-2</v>
      </c>
      <c r="F59" s="59">
        <v>16</v>
      </c>
      <c r="G59" s="59">
        <v>1051</v>
      </c>
      <c r="H59" s="70">
        <v>1.5223E-2</v>
      </c>
      <c r="I59" s="59">
        <v>39</v>
      </c>
      <c r="J59" s="59">
        <v>1012</v>
      </c>
      <c r="K59" s="70">
        <v>3.8537000000000002E-2</v>
      </c>
      <c r="L59" s="59">
        <v>46</v>
      </c>
      <c r="M59" s="59">
        <v>998</v>
      </c>
      <c r="N59" s="70">
        <v>4.6092000000000001E-2</v>
      </c>
      <c r="O59" s="59">
        <v>51</v>
      </c>
      <c r="P59" s="59">
        <v>1050</v>
      </c>
      <c r="Q59" s="70">
        <v>4.8571000000000003E-2</v>
      </c>
      <c r="R59" s="59">
        <v>67</v>
      </c>
      <c r="S59" s="59">
        <v>1031</v>
      </c>
      <c r="T59" s="70">
        <v>6.4985000000000001E-2</v>
      </c>
      <c r="U59" s="59">
        <v>81</v>
      </c>
      <c r="V59" s="59">
        <v>1077</v>
      </c>
      <c r="W59" s="70">
        <v>7.5207999999999997E-2</v>
      </c>
      <c r="X59" s="59">
        <v>67</v>
      </c>
      <c r="Y59" s="59">
        <v>996</v>
      </c>
      <c r="Z59" s="70">
        <v>6.7268999999999995E-2</v>
      </c>
      <c r="AA59" s="59">
        <v>37</v>
      </c>
      <c r="AB59" s="59">
        <v>907</v>
      </c>
      <c r="AC59" s="70">
        <v>4.0793000000000003E-2</v>
      </c>
      <c r="AD59" s="59">
        <v>20</v>
      </c>
      <c r="AE59" s="59">
        <v>810</v>
      </c>
      <c r="AF59" s="70">
        <v>2.4691000000000001E-2</v>
      </c>
    </row>
    <row r="60" spans="2:32" x14ac:dyDescent="0.2">
      <c r="B60" s="69" t="s">
        <v>25</v>
      </c>
      <c r="C60" s="59">
        <v>4</v>
      </c>
      <c r="D60" s="59">
        <v>826</v>
      </c>
      <c r="E60" s="70">
        <v>4.8419999999999999E-3</v>
      </c>
      <c r="F60" s="59">
        <v>5</v>
      </c>
      <c r="G60" s="59">
        <v>751</v>
      </c>
      <c r="H60" s="70">
        <v>6.6569999999999997E-3</v>
      </c>
      <c r="I60" s="59">
        <v>5</v>
      </c>
      <c r="J60" s="59">
        <v>699</v>
      </c>
      <c r="K60" s="70">
        <v>7.1529999999999996E-3</v>
      </c>
      <c r="L60" s="59">
        <v>5</v>
      </c>
      <c r="M60" s="59">
        <v>752</v>
      </c>
      <c r="N60" s="70">
        <v>6.6480000000000003E-3</v>
      </c>
      <c r="O60" s="59">
        <v>4</v>
      </c>
      <c r="P60" s="59">
        <v>908</v>
      </c>
      <c r="Q60" s="70">
        <v>4.4050000000000001E-3</v>
      </c>
      <c r="R60" s="59">
        <v>5</v>
      </c>
      <c r="S60" s="59">
        <v>1045</v>
      </c>
      <c r="T60" s="70">
        <v>4.7840000000000001E-3</v>
      </c>
      <c r="U60" s="59">
        <v>3</v>
      </c>
      <c r="V60" s="59">
        <v>1217</v>
      </c>
      <c r="W60" s="70">
        <v>2.4650000000000002E-3</v>
      </c>
      <c r="X60" s="59">
        <v>3</v>
      </c>
      <c r="Y60" s="59">
        <v>1257</v>
      </c>
      <c r="Z60" s="70">
        <v>2.3860000000000001E-3</v>
      </c>
      <c r="AA60" s="59">
        <v>5</v>
      </c>
      <c r="AB60" s="59">
        <v>1286</v>
      </c>
      <c r="AC60" s="70">
        <v>3.888E-3</v>
      </c>
      <c r="AD60" s="59">
        <v>3</v>
      </c>
      <c r="AE60" s="59">
        <v>1338</v>
      </c>
      <c r="AF60" s="70">
        <v>2.2420000000000001E-3</v>
      </c>
    </row>
    <row r="61" spans="2:32" x14ac:dyDescent="0.2">
      <c r="B61" s="71" t="s">
        <v>26</v>
      </c>
      <c r="C61" s="62">
        <v>60</v>
      </c>
      <c r="D61" s="62">
        <v>2258</v>
      </c>
      <c r="E61" s="72">
        <v>2.6571999999999998E-2</v>
      </c>
      <c r="F61" s="62">
        <v>47</v>
      </c>
      <c r="G61" s="62">
        <v>2266</v>
      </c>
      <c r="H61" s="72">
        <v>2.0740999999999999E-2</v>
      </c>
      <c r="I61" s="62">
        <v>53</v>
      </c>
      <c r="J61" s="62">
        <v>2114</v>
      </c>
      <c r="K61" s="72">
        <v>2.5069999999999999E-2</v>
      </c>
      <c r="L61" s="62">
        <v>63</v>
      </c>
      <c r="M61" s="62">
        <v>2134</v>
      </c>
      <c r="N61" s="72">
        <v>2.9522E-2</v>
      </c>
      <c r="O61" s="62">
        <v>85</v>
      </c>
      <c r="P61" s="62">
        <v>2242</v>
      </c>
      <c r="Q61" s="72">
        <v>3.7912000000000001E-2</v>
      </c>
      <c r="R61" s="62">
        <v>84</v>
      </c>
      <c r="S61" s="62">
        <v>2385</v>
      </c>
      <c r="T61" s="72">
        <v>3.5220000000000001E-2</v>
      </c>
      <c r="U61" s="62">
        <v>62</v>
      </c>
      <c r="V61" s="62">
        <v>2608</v>
      </c>
      <c r="W61" s="72">
        <v>2.3772999999999999E-2</v>
      </c>
      <c r="X61" s="62">
        <v>56</v>
      </c>
      <c r="Y61" s="62">
        <v>2855</v>
      </c>
      <c r="Z61" s="72">
        <v>1.9613999999999999E-2</v>
      </c>
      <c r="AA61" s="62">
        <v>59</v>
      </c>
      <c r="AB61" s="62">
        <v>2960</v>
      </c>
      <c r="AC61" s="72">
        <v>1.9931999999999998E-2</v>
      </c>
      <c r="AD61" s="62">
        <v>52</v>
      </c>
      <c r="AE61" s="62">
        <v>3054</v>
      </c>
      <c r="AF61" s="72">
        <v>1.7025999999999999E-2</v>
      </c>
    </row>
    <row r="62" spans="2:32" x14ac:dyDescent="0.2">
      <c r="B62" s="20" t="s">
        <v>27</v>
      </c>
      <c r="C62" s="21">
        <f>SUBTOTAL(109,'% NRA Trend'!$C$48:$C$61)</f>
        <v>543</v>
      </c>
      <c r="D62" s="21">
        <f>SUBTOTAL(109,'% NRA Trend'!$D$48:$D$61)</f>
        <v>16539</v>
      </c>
      <c r="E62" s="22">
        <f>'% NRA Trend'!$C$62 / '% NRA Trend'!$D$62</f>
        <v>3.2831489207328132E-2</v>
      </c>
      <c r="F62" s="21">
        <f>SUBTOTAL(109,'% NRA Trend'!$F$48:$F$61)</f>
        <v>456</v>
      </c>
      <c r="G62" s="21">
        <f>SUBTOTAL(109,'% NRA Trend'!$G$48:$G$61)</f>
        <v>15324</v>
      </c>
      <c r="H62" s="22">
        <f>'% NRA Trend'!$F$62 / '% NRA Trend'!$G$62</f>
        <v>2.975724353954581E-2</v>
      </c>
      <c r="I62" s="21">
        <f>SUBTOTAL(109,'% NRA Trend'!$I$48:$I$61)</f>
        <v>510</v>
      </c>
      <c r="J62" s="21">
        <f>SUBTOTAL(109,'% NRA Trend'!$J$48:$J$61)</f>
        <v>14121</v>
      </c>
      <c r="K62" s="22">
        <f>'% NRA Trend'!$I$62 / '% NRA Trend'!$J$62</f>
        <v>3.6116422349691951E-2</v>
      </c>
      <c r="L62" s="21">
        <f>SUBTOTAL(109,'% NRA Trend'!$L$48:$L$61)</f>
        <v>638</v>
      </c>
      <c r="M62" s="21">
        <f>SUBTOTAL(109,'% NRA Trend'!$M$48:$M$61)</f>
        <v>13632</v>
      </c>
      <c r="N62" s="22">
        <f>'% NRA Trend'!$L$62 / '% NRA Trend'!$M$62</f>
        <v>4.6801643192488265E-2</v>
      </c>
      <c r="O62" s="21">
        <f>SUBTOTAL(109,'% NRA Trend'!$O$48:$O$61)</f>
        <v>628</v>
      </c>
      <c r="P62" s="21">
        <f>SUBTOTAL(109,'% NRA Trend'!$P$48:$P$61)</f>
        <v>13802</v>
      </c>
      <c r="Q62" s="22">
        <f>'% NRA Trend'!$O$62 / '% NRA Trend'!$P$62</f>
        <v>4.5500652079408781E-2</v>
      </c>
      <c r="R62" s="21">
        <f>SUBTOTAL(109,'% NRA Trend'!$R$48:$R$61)</f>
        <v>751</v>
      </c>
      <c r="S62" s="21">
        <f>SUBTOTAL(109,'% NRA Trend'!$S$48:$S$61)</f>
        <v>14308</v>
      </c>
      <c r="T62" s="22">
        <f xml:space="preserve"> '% NRA Trend'!$R$62 / '% NRA Trend'!$S$62</f>
        <v>5.2488118535085268E-2</v>
      </c>
      <c r="U62" s="21">
        <f>SUBTOTAL(109,'% NRA Trend'!$U$48:$U$61)</f>
        <v>735</v>
      </c>
      <c r="V62" s="21">
        <f>SUBTOTAL(109,'% NRA Trend'!$V$48:$V$61)</f>
        <v>14977</v>
      </c>
      <c r="W62" s="22">
        <f>'% NRA Trend'!$U$62 / '% NRA Trend'!$V$62</f>
        <v>4.9075248714695867E-2</v>
      </c>
      <c r="X62" s="21">
        <f>SUBTOTAL(109,'% NRA Trend'!$X$48:$X$61)</f>
        <v>650</v>
      </c>
      <c r="Y62" s="21">
        <f>SUBTOTAL(109,'% NRA Trend'!$Y$48:$Y$61)</f>
        <v>15330</v>
      </c>
      <c r="Z62" s="22">
        <f>'% NRA Trend'!$X$62 / '% NRA Trend'!$Y$62</f>
        <v>4.2400521852576645E-2</v>
      </c>
      <c r="AA62" s="21">
        <f>SUBTOTAL(109,'% NRA Trend'!$AA$48:$AA$61)</f>
        <v>536</v>
      </c>
      <c r="AB62" s="21">
        <f>SUBTOTAL(109,'% NRA Trend'!$AB$48:$AB$61)</f>
        <v>15289</v>
      </c>
      <c r="AC62" s="22">
        <f xml:space="preserve"> '% NRA Trend'!$AA$62 / '% NRA Trend'!$AB$62</f>
        <v>3.5057884753744523E-2</v>
      </c>
      <c r="AD62" s="21">
        <f>SUBTOTAL(109,'% NRA Trend'!$AD$48:$AD$61)</f>
        <v>495</v>
      </c>
      <c r="AE62" s="21">
        <f>SUBTOTAL(109,'% NRA Trend'!$AE$48:$AE$61)</f>
        <v>15376</v>
      </c>
      <c r="AF62" s="22">
        <f>'% NRA Trend'!$AD$62 / '% NRA Trend'!$AE$62</f>
        <v>3.2193028095733614E-2</v>
      </c>
    </row>
    <row r="64" spans="2:32" x14ac:dyDescent="0.2">
      <c r="B64" s="6" t="s">
        <v>29</v>
      </c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</row>
    <row r="65" spans="2:2" x14ac:dyDescent="0.2">
      <c r="B65" s="9" t="s">
        <v>30</v>
      </c>
    </row>
    <row r="66" spans="2:2" x14ac:dyDescent="0.2">
      <c r="B66" s="9" t="s">
        <v>31</v>
      </c>
    </row>
  </sheetData>
  <mergeCells count="37">
    <mergeCell ref="U45:W45"/>
    <mergeCell ref="X45:Z45"/>
    <mergeCell ref="AA45:AC45"/>
    <mergeCell ref="AD45:AF45"/>
    <mergeCell ref="X24:Z24"/>
    <mergeCell ref="AA24:AC24"/>
    <mergeCell ref="AD24:AF24"/>
    <mergeCell ref="B44:AF44"/>
    <mergeCell ref="C45:E45"/>
    <mergeCell ref="F45:H45"/>
    <mergeCell ref="I45:K45"/>
    <mergeCell ref="L45:N45"/>
    <mergeCell ref="O45:Q45"/>
    <mergeCell ref="R45:T45"/>
    <mergeCell ref="B45:B46"/>
    <mergeCell ref="B23:AF23"/>
    <mergeCell ref="C24:E24"/>
    <mergeCell ref="F24:H24"/>
    <mergeCell ref="I24:K24"/>
    <mergeCell ref="L24:N24"/>
    <mergeCell ref="O24:Q24"/>
    <mergeCell ref="R24:T24"/>
    <mergeCell ref="U24:W24"/>
    <mergeCell ref="B24:B25"/>
    <mergeCell ref="AD3:AF3"/>
    <mergeCell ref="AA3:AC3"/>
    <mergeCell ref="F3:H3"/>
    <mergeCell ref="R3:T3"/>
    <mergeCell ref="B1:AF1"/>
    <mergeCell ref="B2:AF2"/>
    <mergeCell ref="C3:E3"/>
    <mergeCell ref="I3:K3"/>
    <mergeCell ref="L3:N3"/>
    <mergeCell ref="O3:Q3"/>
    <mergeCell ref="U3:W3"/>
    <mergeCell ref="X3:Z3"/>
    <mergeCell ref="B3:B4"/>
  </mergeCells>
  <printOptions horizontalCentered="1"/>
  <pageMargins left="0.5" right="0.5" top="1" bottom="0.5" header="0.3" footer="0.3"/>
  <pageSetup paperSize="17" scale="59" fitToHeight="0" orientation="landscape" r:id="rId1"/>
  <headerFooter>
    <oddHeader>&amp;L&amp;"Arial,Regular"&amp;10Pennsylvania's State System of Higher Education | &amp;D
Office of Educational Intelligence | 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51aa121d5f843c8a970b6f1fe4ccd12 xmlns="289e8682-4a2e-49d3-b27e-bd09c30b60b3">
      <Terms xmlns="http://schemas.microsoft.com/office/infopath/2007/PartnerControls"/>
    </g51aa121d5f843c8a970b6f1fe4ccd12>
    <od33d7302b534273855ea8c96e87d70a xmlns="289e8682-4a2e-49d3-b27e-bd09c30b60b3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2019-2020</TermName>
          <TermId xmlns="http://schemas.microsoft.com/office/infopath/2007/PartnerControls">49313bf1-e025-434f-b642-514aba35c011</TermId>
        </TermInfo>
      </Terms>
    </od33d7302b534273855ea8c96e87d70a>
    <a62fc4386e3e4adcaa05354e734c2df0 xmlns="289e8682-4a2e-49d3-b27e-bd09c30b60b3">
      <Terms xmlns="http://schemas.microsoft.com/office/infopath/2007/PartnerControls"/>
    </a62fc4386e3e4adcaa05354e734c2df0>
    <d690886bcdfd4f3da9124d9de8f37953 xmlns="289e8682-4a2e-49d3-b27e-bd09c30b60b3">
      <Terms xmlns="http://schemas.microsoft.com/office/infopath/2007/PartnerControls"/>
    </d690886bcdfd4f3da9124d9de8f37953>
    <k6d27740e3fe424b84f15ed967281acd xmlns="289e8682-4a2e-49d3-b27e-bd09c30b60b3">
      <Terms xmlns="http://schemas.microsoft.com/office/infopath/2007/PartnerControls"/>
    </k6d27740e3fe424b84f15ed967281acd>
    <TaxCatchAll xmlns="289e8682-4a2e-49d3-b27e-bd09c30b60b3">
      <Value>46</Value>
    </TaxCatchAll>
    <k350a5c9a32242ba830b2f318466d1c7 xmlns="289e8682-4a2e-49d3-b27e-bd09c30b60b3">
      <Terms xmlns="http://schemas.microsoft.com/office/infopath/2007/PartnerControls"/>
    </k350a5c9a32242ba830b2f318466d1c7>
    <m703d6639e7547d8b4629e84279f8be5 xmlns="289e8682-4a2e-49d3-b27e-bd09c30b60b3">
      <Terms xmlns="http://schemas.microsoft.com/office/infopath/2007/PartnerControls"/>
    </m703d6639e7547d8b4629e84279f8be5>
    <IconOverlay xmlns="http://schemas.microsoft.com/sharepoint/v4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IR Document" ma:contentTypeID="0x010100CA51CD16A69D804A9990439F61B1D43E0015F258F8E1D91347A78C11B159B1BB61" ma:contentTypeVersion="8" ma:contentTypeDescription="" ma:contentTypeScope="" ma:versionID="c7763771a5dc06aecbe922898ef117f1">
  <xsd:schema xmlns:xsd="http://www.w3.org/2001/XMLSchema" xmlns:xs="http://www.w3.org/2001/XMLSchema" xmlns:p="http://schemas.microsoft.com/office/2006/metadata/properties" xmlns:ns2="289e8682-4a2e-49d3-b27e-bd09c30b60b3" xmlns:ns3="http://schemas.microsoft.com/sharepoint/v4" targetNamespace="http://schemas.microsoft.com/office/2006/metadata/properties" ma:root="true" ma:fieldsID="786f7884181beaa5d6e2d8dcd6f7dbb3" ns2:_="" ns3:_="">
    <xsd:import namespace="289e8682-4a2e-49d3-b27e-bd09c30b60b3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od33d7302b534273855ea8c96e87d70a" minOccurs="0"/>
                <xsd:element ref="ns2:TaxCatchAll" minOccurs="0"/>
                <xsd:element ref="ns2:TaxCatchAllLabel" minOccurs="0"/>
                <xsd:element ref="ns2:g51aa121d5f843c8a970b6f1fe4ccd12" minOccurs="0"/>
                <xsd:element ref="ns2:k6d27740e3fe424b84f15ed967281acd" minOccurs="0"/>
                <xsd:element ref="ns2:k350a5c9a32242ba830b2f318466d1c7" minOccurs="0"/>
                <xsd:element ref="ns2:d690886bcdfd4f3da9124d9de8f37953" minOccurs="0"/>
                <xsd:element ref="ns2:a62fc4386e3e4adcaa05354e734c2df0" minOccurs="0"/>
                <xsd:element ref="ns2:m703d6639e7547d8b4629e84279f8be5" minOccurs="0"/>
                <xsd:element ref="ns3:IconOverlay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9e8682-4a2e-49d3-b27e-bd09c30b60b3" elementFormDefault="qualified">
    <xsd:import namespace="http://schemas.microsoft.com/office/2006/documentManagement/types"/>
    <xsd:import namespace="http://schemas.microsoft.com/office/infopath/2007/PartnerControls"/>
    <xsd:element name="od33d7302b534273855ea8c96e87d70a" ma:index="8" nillable="true" ma:taxonomy="true" ma:internalName="od33d7302b534273855ea8c96e87d70a" ma:taxonomyFieldName="AcademicYear" ma:displayName="Academic Year" ma:default="" ma:fieldId="{8d33d730-2b53-4273-855e-a8c96e87d70a}" ma:sspId="298feb1e-14a0-460d-80e1-aed7b3ee0dd3" ma:termSetId="c1e2b13c-c51f-424d-a1fd-ae5123cb6b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42bfad53-09a2-4d1f-b33d-ce93c8e61b7a}" ma:internalName="TaxCatchAll" ma:showField="CatchAllData" ma:web="289e8682-4a2e-49d3-b27e-bd09c30b60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42bfad53-09a2-4d1f-b33d-ce93c8e61b7a}" ma:internalName="TaxCatchAllLabel" ma:readOnly="true" ma:showField="CatchAllDataLabel" ma:web="289e8682-4a2e-49d3-b27e-bd09c30b60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51aa121d5f843c8a970b6f1fe4ccd12" ma:index="12" nillable="true" ma:taxonomy="true" ma:internalName="g51aa121d5f843c8a970b6f1fe4ccd12" ma:taxonomyFieldName="AcademicTerm" ma:displayName="Academic Term" ma:default="" ma:fieldId="{051aa121-d5f8-43c8-a970-b6f1fe4ccd12}" ma:sspId="298feb1e-14a0-460d-80e1-aed7b3ee0dd3" ma:termSetId="7cafb764-5c40-44e0-9b76-2428e8200e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6d27740e3fe424b84f15ed967281acd" ma:index="14" nillable="true" ma:taxonomy="true" ma:internalName="k6d27740e3fe424b84f15ed967281acd" ma:taxonomyFieldName="University" ma:displayName="University" ma:default="" ma:fieldId="{46d27740-e3fe-424b-84f1-5ed967281acd}" ma:sspId="298feb1e-14a0-460d-80e1-aed7b3ee0dd3" ma:termSetId="fa3b3715-5cc0-4d7f-a4ba-e50c08d3010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350a5c9a32242ba830b2f318466d1c7" ma:index="16" nillable="true" ma:taxonomy="true" ma:internalName="k350a5c9a32242ba830b2f318466d1c7" ma:taxonomyFieldName="Quarters" ma:displayName="Quarter" ma:default="" ma:fieldId="{4350a5c9-a322-42ba-830b-2f318466d1c7}" ma:sspId="298feb1e-14a0-460d-80e1-aed7b3ee0dd3" ma:termSetId="a35df924-76c8-43d8-97a4-e9367ca891d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690886bcdfd4f3da9124d9de8f37953" ma:index="18" nillable="true" ma:taxonomy="true" ma:internalName="d690886bcdfd4f3da9124d9de8f37953" ma:taxonomyFieldName="ItemType" ma:displayName="Item Type" ma:default="" ma:fieldId="{d690886b-cdfd-4f3d-a912-4d9de8f37953}" ma:sspId="298feb1e-14a0-460d-80e1-aed7b3ee0dd3" ma:termSetId="36d2f576-dc07-4e6e-a523-b1e0674d4ec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62fc4386e3e4adcaa05354e734c2df0" ma:index="20" nillable="true" ma:taxonomy="true" ma:internalName="a62fc4386e3e4adcaa05354e734c2df0" ma:taxonomyFieldName="Month" ma:displayName="Month" ma:default="" ma:fieldId="{a62fc438-6e3e-4adc-aa05-354e734c2df0}" ma:sspId="298feb1e-14a0-460d-80e1-aed7b3ee0dd3" ma:termSetId="471e1875-64aa-45ab-bbca-0a9a0c46fa1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703d6639e7547d8b4629e84279f8be5" ma:index="22" nillable="true" ma:taxonomy="true" ma:internalName="m703d6639e7547d8b4629e84279f8be5" ma:taxonomyFieldName="Year" ma:displayName="Year" ma:default="" ma:fieldId="{6703d663-9e75-47d8-b462-9e84279f8be5}" ma:sspId="298feb1e-14a0-460d-80e1-aed7b3ee0dd3" ma:termSetId="d978fa00-ca09-40dc-8ffe-07cce2ae29c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25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4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42A00C7-7523-479F-B203-86A9B369260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9B58585-E6B2-42EA-8560-2C7EAD635766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http://purl.org/dc/terms/"/>
    <ds:schemaRef ds:uri="http://schemas.microsoft.com/sharepoint/v4"/>
    <ds:schemaRef ds:uri="289e8682-4a2e-49d3-b27e-bd09c30b60b3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6C4472E0-BF4B-493D-BD38-0BA5055827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9e8682-4a2e-49d3-b27e-bd09c30b60b3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30</vt:i4>
      </vt:variant>
    </vt:vector>
  </HeadingPairs>
  <TitlesOfParts>
    <vt:vector size="54" baseType="lpstr">
      <vt:lpstr>Head Count Trend</vt:lpstr>
      <vt:lpstr>Undergrad Breakdown Trend</vt:lpstr>
      <vt:lpstr>Enrollment by level Trend</vt:lpstr>
      <vt:lpstr>Ethnic Enrollment</vt:lpstr>
      <vt:lpstr>Undergraduate Ethnicity Trend</vt:lpstr>
      <vt:lpstr>Graduate Ethnicity Trend</vt:lpstr>
      <vt:lpstr>Ethnic Enrollment Choice</vt:lpstr>
      <vt:lpstr>% Minority Trend</vt:lpstr>
      <vt:lpstr>% NRA Trend</vt:lpstr>
      <vt:lpstr>Study Abroad</vt:lpstr>
      <vt:lpstr>Enrollment By Residency</vt:lpstr>
      <vt:lpstr>FT - PT Enrollment Trend</vt:lpstr>
      <vt:lpstr>Degree-NonDegree Enrollment</vt:lpstr>
      <vt:lpstr>Enrollment by Gender Trend</vt:lpstr>
      <vt:lpstr>Non Traditonal Enrollment Trend</vt:lpstr>
      <vt:lpstr>Age Trend</vt:lpstr>
      <vt:lpstr>Enrollment by Program Level</vt:lpstr>
      <vt:lpstr>Enrollment by Program Choice</vt:lpstr>
      <vt:lpstr>On-Campus Enrollment Trend</vt:lpstr>
      <vt:lpstr>Enrollment By County Trend</vt:lpstr>
      <vt:lpstr>Enrollment by State</vt:lpstr>
      <vt:lpstr>Enrollment By Major Trend</vt:lpstr>
      <vt:lpstr>Enrollment By Major(STEM) Trend</vt:lpstr>
      <vt:lpstr>Parameters</vt:lpstr>
      <vt:lpstr>'% Minority Trend'!Print_Area</vt:lpstr>
      <vt:lpstr>'% NRA Trend'!Print_Area</vt:lpstr>
      <vt:lpstr>'Age Trend'!Print_Area</vt:lpstr>
      <vt:lpstr>'Degree-NonDegree Enrollment'!Print_Area</vt:lpstr>
      <vt:lpstr>'Enrollment By County Trend'!Print_Area</vt:lpstr>
      <vt:lpstr>'Enrollment by Gender Trend'!Print_Area</vt:lpstr>
      <vt:lpstr>'Enrollment by level Trend'!Print_Area</vt:lpstr>
      <vt:lpstr>'Enrollment By Major Trend'!Print_Area</vt:lpstr>
      <vt:lpstr>'Enrollment By Major(STEM) Trend'!Print_Area</vt:lpstr>
      <vt:lpstr>'Enrollment by Program Choice'!Print_Area</vt:lpstr>
      <vt:lpstr>'Enrollment by Program Level'!Print_Area</vt:lpstr>
      <vt:lpstr>'Enrollment By Residency'!Print_Area</vt:lpstr>
      <vt:lpstr>'Enrollment by State'!Print_Area</vt:lpstr>
      <vt:lpstr>'Ethnic Enrollment'!Print_Area</vt:lpstr>
      <vt:lpstr>'Ethnic Enrollment Choice'!Print_Area</vt:lpstr>
      <vt:lpstr>'FT - PT Enrollment Trend'!Print_Area</vt:lpstr>
      <vt:lpstr>'Graduate Ethnicity Trend'!Print_Area</vt:lpstr>
      <vt:lpstr>'Head Count Trend'!Print_Area</vt:lpstr>
      <vt:lpstr>'Non Traditonal Enrollment Trend'!Print_Area</vt:lpstr>
      <vt:lpstr>'On-Campus Enrollment Trend'!Print_Area</vt:lpstr>
      <vt:lpstr>'Study Abroad'!Print_Area</vt:lpstr>
      <vt:lpstr>'Undergrad Breakdown Trend'!Print_Area</vt:lpstr>
      <vt:lpstr>'Undergraduate Ethnicity Trend'!Print_Area</vt:lpstr>
      <vt:lpstr>'Enrollment By Major Trend'!Print_Titles</vt:lpstr>
      <vt:lpstr>'Enrollment By Major(STEM) Trend'!Print_Titles</vt:lpstr>
      <vt:lpstr>'Ethnic Enrollment'!Print_Titles</vt:lpstr>
      <vt:lpstr>'Graduate Ethnicity Trend'!Print_Titles</vt:lpstr>
      <vt:lpstr>'Non Traditonal Enrollment Trend'!Print_Titles</vt:lpstr>
      <vt:lpstr>'Undergrad Breakdown Trend'!Print_Titles</vt:lpstr>
      <vt:lpstr>'Undergraduate Ethnicity Trend'!Print_Titles</vt:lpstr>
    </vt:vector>
  </TitlesOfParts>
  <Manager/>
  <Company>PASSHE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Best, Christopher</dc:creator>
  <cp:keywords/>
  <dc:description/>
  <cp:lastModifiedBy>Kyle Verbosh</cp:lastModifiedBy>
  <cp:revision/>
  <dcterms:created xsi:type="dcterms:W3CDTF">2013-10-10T14:02:16Z</dcterms:created>
  <dcterms:modified xsi:type="dcterms:W3CDTF">2019-11-04T18:06:08Z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Quarters">
    <vt:lpwstr/>
  </property>
  <property fmtid="{D5CDD505-2E9C-101B-9397-08002B2CF9AE}" pid="3" name="Year">
    <vt:lpwstr/>
  </property>
  <property fmtid="{D5CDD505-2E9C-101B-9397-08002B2CF9AE}" pid="4" name="University">
    <vt:lpwstr/>
  </property>
  <property fmtid="{D5CDD505-2E9C-101B-9397-08002B2CF9AE}" pid="5" name="Month">
    <vt:lpwstr/>
  </property>
  <property fmtid="{D5CDD505-2E9C-101B-9397-08002B2CF9AE}" pid="6" name="ItemType">
    <vt:lpwstr/>
  </property>
  <property fmtid="{D5CDD505-2E9C-101B-9397-08002B2CF9AE}" pid="7" name="ContentTypeId">
    <vt:lpwstr>0x010100CA51CD16A69D804A9990439F61B1D43E0015F258F8E1D91347A78C11B159B1BB61</vt:lpwstr>
  </property>
  <property fmtid="{D5CDD505-2E9C-101B-9397-08002B2CF9AE}" pid="8" name="AcademicTerm">
    <vt:lpwstr/>
  </property>
  <property fmtid="{D5CDD505-2E9C-101B-9397-08002B2CF9AE}" pid="9" name="AcademicYear">
    <vt:lpwstr>46;#2019-2020|49313bf1-e025-434f-b642-514aba35c011</vt:lpwstr>
  </property>
</Properties>
</file>